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pivotTables/pivotTable3.xml" ContentType="application/vnd.openxmlformats-officedocument.spreadsheetml.pivotTable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pivotTables/pivotTable4.xml" ContentType="application/vnd.openxmlformats-officedocument.spreadsheetml.pivotTable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pivotTables/pivotTable5.xml" ContentType="application/vnd.openxmlformats-officedocument.spreadsheetml.pivotTable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pivotTables/pivotTable6.xml" ContentType="application/vnd.openxmlformats-officedocument.spreadsheetml.pivotTable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customProperty1.bin" ContentType="application/vnd.openxmlformats-officedocument.spreadsheetml.customProperty"/>
  <Override PartName="/xl/comments7.xml" ContentType="application/vnd.openxmlformats-officedocument.spreadsheetml.comments+xml"/>
  <Override PartName="/xl/threadedComments/threadedComment1.xml" ContentType="application/vnd.ms-excel.threadedcomments+xml"/>
  <Override PartName="/xl/customProperty2.bin" ContentType="application/vnd.openxmlformats-officedocument.spreadsheetml.customProperty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/Users/alainguilliomet/Desktop/"/>
    </mc:Choice>
  </mc:AlternateContent>
  <xr:revisionPtr revIDLastSave="0" documentId="13_ncr:1_{25505E50-2D58-274D-8481-C763663B9A13}" xr6:coauthVersionLast="47" xr6:coauthVersionMax="47" xr10:uidLastSave="{00000000-0000-0000-0000-000000000000}"/>
  <bookViews>
    <workbookView xWindow="1900" yWindow="1900" windowWidth="21600" windowHeight="11300" tabRatio="759" firstSheet="7" activeTab="10" xr2:uid="{00000000-000D-0000-FFFF-FFFF00000000}"/>
  </bookViews>
  <sheets>
    <sheet name="EQUIPE A 3" sheetId="36" r:id="rId1"/>
    <sheet name="arbitrage 3" sheetId="37" r:id="rId2"/>
    <sheet name=" EQUIPE A 4" sheetId="23" r:id="rId3"/>
    <sheet name="arbitrage 4" sheetId="28" r:id="rId4"/>
    <sheet name="JEUNES (4)" sheetId="25" r:id="rId5"/>
    <sheet name="arbitrage Jeunes (4)" sheetId="30" r:id="rId6"/>
    <sheet name="JEUNES (2)" sheetId="38" r:id="rId7"/>
    <sheet name="arbitrage Jeunes (2)" sheetId="39" r:id="rId8"/>
    <sheet name="Coupes départementales" sheetId="31" r:id="rId9"/>
    <sheet name="arbitrage CD" sheetId="32" r:id="rId10"/>
    <sheet name="Coupes Nationales" sheetId="34" r:id="rId11"/>
    <sheet name="Arbitrage CN" sheetId="35" r:id="rId12"/>
    <sheet name="LISTE JOUEURS" sheetId="8" r:id="rId13"/>
    <sheet name="LISTING CLUB" sheetId="10" r:id="rId14"/>
    <sheet name="Jour Match" sheetId="40" state="hidden" r:id="rId15"/>
  </sheets>
  <definedNames>
    <definedName name="_xlnm._FilterDatabase" localSheetId="2" hidden="1">' EQUIPE A 4'!$AY$5:$AY$738</definedName>
    <definedName name="_xlnm._FilterDatabase" localSheetId="8" hidden="1">'Coupes départementales'!$BE$5:$BE$736</definedName>
    <definedName name="_xlnm._FilterDatabase" localSheetId="10" hidden="1">'Coupes Nationales'!$AZ$5:$BA$736</definedName>
    <definedName name="_xlnm._FilterDatabase" localSheetId="0" hidden="1">'EQUIPE A 3'!#REF!</definedName>
    <definedName name="_xlnm._FilterDatabase" localSheetId="6" hidden="1">'JEUNES (2)'!$BI$5:$BI$735</definedName>
    <definedName name="_xlnm._FilterDatabase" localSheetId="4" hidden="1">'JEUNES (4)'!$BI$5:$BI$735</definedName>
    <definedName name="_xlnm._FilterDatabase" localSheetId="12" hidden="1">'LISTE JOUEURS'!$A$2:$U$748</definedName>
    <definedName name="Club">'EQUIPE A 3'!$BF$5:$BF$26</definedName>
    <definedName name="_xlnm.Print_Titles" localSheetId="12">'LISTE JOUEURS'!$2:$2</definedName>
    <definedName name="JourneeCD" localSheetId="8">'Jour Match'!$B$35:$C$40</definedName>
    <definedName name="JourneeCN" localSheetId="10">'Jour Match'!$B$41:$C$47</definedName>
    <definedName name="JourneeE4" localSheetId="2">'Jour Match'!$B$14:$C$25</definedName>
    <definedName name="JourneeE6" localSheetId="0">'Jour Match'!$B$1:$C$13</definedName>
    <definedName name="JourneeEJ" localSheetId="6">'Jour Match'!#REF!</definedName>
    <definedName name="JourneeEJ" localSheetId="4">'Jour Match'!$B$26:$C$34</definedName>
    <definedName name="Listing">'LISTE JOUEURS'!$A$2:$G$713</definedName>
    <definedName name="_xlnm.Print_Area" localSheetId="2">' EQUIPE A 4'!$A$1:$AA$75</definedName>
    <definedName name="_xlnm.Print_Area" localSheetId="1">'arbitrage 3'!$A$1:$AI$74</definedName>
    <definedName name="_xlnm.Print_Area" localSheetId="3">'arbitrage 4'!$A$1:$AI$74</definedName>
    <definedName name="_xlnm.Print_Area" localSheetId="9">'arbitrage CD'!$A$1:$AI$61</definedName>
    <definedName name="_xlnm.Print_Area" localSheetId="11">'Arbitrage CN'!$A$1:$AI$61</definedName>
    <definedName name="_xlnm.Print_Area" localSheetId="7">'arbitrage Jeunes (2)'!$A$1:$AI$74</definedName>
    <definedName name="_xlnm.Print_Area" localSheetId="5">'arbitrage Jeunes (4)'!$A$1:$AI$74</definedName>
    <definedName name="_xlnm.Print_Area" localSheetId="8">'Coupes départementales'!$A$1:$AA$65</definedName>
    <definedName name="_xlnm.Print_Area" localSheetId="10">'Coupes Nationales'!$A$1:$AA$65</definedName>
    <definedName name="_xlnm.Print_Area" localSheetId="0">'EQUIPE A 3'!$A$1:$AA$70</definedName>
    <definedName name="_xlnm.Print_Area" localSheetId="6">'JEUNES (2)'!$A$1:$AA$65</definedName>
    <definedName name="_xlnm.Print_Area" localSheetId="4">'JEUNES (4)'!$A$1:$AA$76</definedName>
    <definedName name="_xlnm.Print_Area" localSheetId="12">'LISTE JOUEURS'!$A$1:$F$398</definedName>
  </definedNames>
  <calcPr calcId="191029"/>
  <pivotCaches>
    <pivotCache cacheId="0" r:id="rId1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483" i="8" l="1"/>
  <c r="R483" i="8"/>
  <c r="S483" i="8"/>
  <c r="T483" i="8"/>
  <c r="T321" i="8"/>
  <c r="T303" i="8"/>
  <c r="T294" i="8"/>
  <c r="T283" i="8"/>
  <c r="S283" i="8"/>
  <c r="R283" i="8"/>
  <c r="Q283" i="8"/>
  <c r="S321" i="8"/>
  <c r="R321" i="8"/>
  <c r="Q321" i="8"/>
  <c r="S227" i="8"/>
  <c r="R227" i="8"/>
  <c r="Q227" i="8"/>
  <c r="S294" i="8"/>
  <c r="R294" i="8"/>
  <c r="Q294" i="8"/>
  <c r="S303" i="8"/>
  <c r="R303" i="8"/>
  <c r="Q303" i="8"/>
  <c r="T585" i="8"/>
  <c r="S585" i="8"/>
  <c r="R585" i="8"/>
  <c r="Q585" i="8"/>
  <c r="T520" i="8"/>
  <c r="S520" i="8"/>
  <c r="R520" i="8"/>
  <c r="Q520" i="8"/>
  <c r="P729" i="8"/>
  <c r="P730" i="8"/>
  <c r="T292" i="8"/>
  <c r="S292" i="8"/>
  <c r="R292" i="8"/>
  <c r="Q292" i="8"/>
  <c r="T305" i="8"/>
  <c r="T293" i="8"/>
  <c r="T265" i="8"/>
  <c r="T230" i="8"/>
  <c r="S305" i="8"/>
  <c r="R305" i="8"/>
  <c r="Q305" i="8"/>
  <c r="S293" i="8"/>
  <c r="R293" i="8"/>
  <c r="Q293" i="8"/>
  <c r="S275" i="8"/>
  <c r="T275" i="8"/>
  <c r="R275" i="8"/>
  <c r="Q275" i="8"/>
  <c r="S265" i="8"/>
  <c r="R265" i="8"/>
  <c r="Q265" i="8"/>
  <c r="S230" i="8"/>
  <c r="R230" i="8"/>
  <c r="Q230" i="8"/>
  <c r="S270" i="8"/>
  <c r="T270" i="8"/>
  <c r="R270" i="8"/>
  <c r="Q270" i="8"/>
  <c r="T258" i="8"/>
  <c r="S258" i="8"/>
  <c r="R258" i="8"/>
  <c r="Q258" i="8"/>
  <c r="T239" i="8"/>
  <c r="S239" i="8"/>
  <c r="R239" i="8"/>
  <c r="Q239" i="8"/>
  <c r="B468" i="8"/>
  <c r="B469" i="8" s="1"/>
  <c r="B470" i="8" s="1"/>
  <c r="B471" i="8" s="1"/>
  <c r="B472" i="8" s="1"/>
  <c r="B473" i="8" s="1"/>
  <c r="B474" i="8" s="1"/>
  <c r="B475" i="8" s="1"/>
  <c r="B476" i="8" s="1"/>
  <c r="B477" i="8" s="1"/>
  <c r="B478" i="8" s="1"/>
  <c r="B479" i="8" s="1"/>
  <c r="B480" i="8" s="1"/>
  <c r="B481" i="8" s="1"/>
  <c r="B482" i="8"/>
  <c r="B610" i="8"/>
  <c r="B611" i="8" s="1"/>
  <c r="B612" i="8" s="1"/>
  <c r="B613" i="8" s="1"/>
  <c r="B614" i="8" s="1"/>
  <c r="B615" i="8" s="1"/>
  <c r="B616" i="8" s="1"/>
  <c r="B617" i="8" s="1"/>
  <c r="B618" i="8" s="1"/>
  <c r="B619" i="8" s="1"/>
  <c r="B620" i="8" s="1"/>
  <c r="B621" i="8" s="1"/>
  <c r="B622" i="8" s="1"/>
  <c r="B623" i="8" s="1"/>
  <c r="B624" i="8" s="1"/>
  <c r="B625" i="8" s="1"/>
  <c r="B626" i="8" s="1"/>
  <c r="B627" i="8" s="1"/>
  <c r="B628" i="8" s="1"/>
  <c r="B629" i="8" s="1"/>
  <c r="B630" i="8" s="1"/>
  <c r="B631" i="8" s="1"/>
  <c r="B632" i="8" s="1"/>
  <c r="B633" i="8" s="1"/>
  <c r="B634" i="8" s="1"/>
  <c r="B635" i="8" s="1"/>
  <c r="B636" i="8" s="1"/>
  <c r="B637" i="8" s="1"/>
  <c r="B638" i="8" s="1"/>
  <c r="B639" i="8" s="1"/>
  <c r="B640" i="8" s="1"/>
  <c r="B641" i="8" s="1"/>
  <c r="B642" i="8" s="1"/>
  <c r="B643" i="8" s="1"/>
  <c r="B644" i="8" s="1"/>
  <c r="B645" i="8" s="1"/>
  <c r="B646" i="8" s="1"/>
  <c r="B647" i="8" s="1"/>
  <c r="B648" i="8" s="1"/>
  <c r="B649" i="8" s="1"/>
  <c r="B650" i="8" s="1"/>
  <c r="B651" i="8" s="1"/>
  <c r="B652" i="8" s="1"/>
  <c r="B653" i="8" s="1"/>
  <c r="B654" i="8" s="1"/>
  <c r="B655" i="8" s="1"/>
  <c r="B656" i="8" s="1"/>
  <c r="B657" i="8" s="1"/>
  <c r="B658" i="8" s="1"/>
  <c r="B659" i="8"/>
  <c r="B660" i="8" s="1"/>
  <c r="B661" i="8" s="1"/>
  <c r="B662" i="8" s="1"/>
  <c r="B663" i="8" s="1"/>
  <c r="B664" i="8" s="1"/>
  <c r="B665" i="8" s="1"/>
  <c r="B666" i="8" s="1"/>
  <c r="B667" i="8" s="1"/>
  <c r="B668" i="8" s="1"/>
  <c r="B669" i="8" s="1"/>
  <c r="B670" i="8" s="1"/>
  <c r="B671" i="8" s="1"/>
  <c r="B672" i="8" s="1"/>
  <c r="B673" i="8" s="1"/>
  <c r="B674" i="8" s="1"/>
  <c r="B675" i="8" s="1"/>
  <c r="B676" i="8" s="1"/>
  <c r="B677" i="8" s="1"/>
  <c r="B678" i="8" s="1"/>
  <c r="B679" i="8" s="1"/>
  <c r="B680" i="8" s="1"/>
  <c r="B681" i="8" s="1"/>
  <c r="B682" i="8" s="1"/>
  <c r="B683" i="8" s="1"/>
  <c r="B684" i="8" s="1"/>
  <c r="B685" i="8" s="1"/>
  <c r="B686" i="8" s="1"/>
  <c r="B687" i="8" s="1"/>
  <c r="B688" i="8"/>
  <c r="B689" i="8" s="1"/>
  <c r="B690" i="8" s="1"/>
  <c r="B691" i="8" s="1"/>
  <c r="B692" i="8" s="1"/>
  <c r="B693" i="8" s="1"/>
  <c r="B694" i="8" s="1"/>
  <c r="B695" i="8" s="1"/>
  <c r="B696" i="8" s="1"/>
  <c r="B697" i="8" s="1"/>
  <c r="B698" i="8" s="1"/>
  <c r="B699" i="8" s="1"/>
  <c r="B700" i="8" s="1"/>
  <c r="B701" i="8" s="1"/>
  <c r="B702" i="8" s="1"/>
  <c r="B703" i="8" s="1"/>
  <c r="B704" i="8" s="1"/>
  <c r="B705" i="8" s="1"/>
  <c r="B706" i="8" s="1"/>
  <c r="B707" i="8" s="1"/>
  <c r="B708" i="8" s="1"/>
  <c r="B709" i="8" s="1"/>
  <c r="B710" i="8" s="1"/>
  <c r="B711" i="8" s="1"/>
  <c r="B712" i="8" s="1"/>
  <c r="B713" i="8" s="1"/>
  <c r="T577" i="8"/>
  <c r="T410" i="8"/>
  <c r="T411" i="8"/>
  <c r="S410" i="8"/>
  <c r="S411" i="8"/>
  <c r="R410" i="8"/>
  <c r="R411" i="8"/>
  <c r="B483" i="8" l="1"/>
  <c r="P483" i="8" s="1"/>
  <c r="T391" i="8"/>
  <c r="T385" i="8"/>
  <c r="T386" i="8"/>
  <c r="T387" i="8"/>
  <c r="S391" i="8"/>
  <c r="S385" i="8"/>
  <c r="S386" i="8"/>
  <c r="S387" i="8"/>
  <c r="R391" i="8"/>
  <c r="R385" i="8"/>
  <c r="R386" i="8"/>
  <c r="R387" i="8"/>
  <c r="R388" i="8"/>
  <c r="Q391" i="8"/>
  <c r="Q385" i="8"/>
  <c r="Q386" i="8"/>
  <c r="Q387" i="8"/>
  <c r="B333" i="8"/>
  <c r="B334" i="8" s="1"/>
  <c r="B335" i="8" s="1"/>
  <c r="B336" i="8" s="1"/>
  <c r="B337" i="8" s="1"/>
  <c r="B338" i="8" s="1"/>
  <c r="B339" i="8" s="1"/>
  <c r="B340" i="8" s="1"/>
  <c r="B341" i="8" s="1"/>
  <c r="B342" i="8" s="1"/>
  <c r="B343" i="8" s="1"/>
  <c r="B344" i="8" s="1"/>
  <c r="B345" i="8" s="1"/>
  <c r="B346" i="8" s="1"/>
  <c r="B347" i="8" s="1"/>
  <c r="B348" i="8" s="1"/>
  <c r="B349" i="8" s="1"/>
  <c r="B350" i="8" s="1"/>
  <c r="B351" i="8" s="1"/>
  <c r="B352" i="8" s="1"/>
  <c r="B353" i="8" s="1"/>
  <c r="B354" i="8" s="1"/>
  <c r="B355" i="8"/>
  <c r="B356" i="8" s="1"/>
  <c r="B357" i="8" s="1"/>
  <c r="B358" i="8" s="1"/>
  <c r="B359" i="8" s="1"/>
  <c r="B360" i="8" s="1"/>
  <c r="B361" i="8" s="1"/>
  <c r="B362" i="8" s="1"/>
  <c r="B363" i="8"/>
  <c r="B364" i="8" s="1"/>
  <c r="B365" i="8" s="1"/>
  <c r="B366" i="8" s="1"/>
  <c r="B367" i="8" s="1"/>
  <c r="B368" i="8" s="1"/>
  <c r="B369" i="8" s="1"/>
  <c r="B370" i="8" s="1"/>
  <c r="B371" i="8" s="1"/>
  <c r="B372" i="8"/>
  <c r="B373" i="8" s="1"/>
  <c r="B374" i="8" s="1"/>
  <c r="B375" i="8" s="1"/>
  <c r="B376" i="8" s="1"/>
  <c r="B377" i="8" s="1"/>
  <c r="B378" i="8" s="1"/>
  <c r="B379" i="8" s="1"/>
  <c r="B380" i="8" s="1"/>
  <c r="B381" i="8" s="1"/>
  <c r="B382" i="8" s="1"/>
  <c r="B383" i="8" s="1"/>
  <c r="B226" i="8"/>
  <c r="B227" i="8" s="1"/>
  <c r="T595" i="8"/>
  <c r="S595" i="8"/>
  <c r="R595" i="8"/>
  <c r="Q595" i="8"/>
  <c r="T525" i="8"/>
  <c r="S525" i="8"/>
  <c r="R525" i="8"/>
  <c r="Q525" i="8"/>
  <c r="S486" i="8"/>
  <c r="T486" i="8"/>
  <c r="R486" i="8"/>
  <c r="Q486" i="8"/>
  <c r="T604" i="8"/>
  <c r="S604" i="8"/>
  <c r="R604" i="8"/>
  <c r="Q604" i="8"/>
  <c r="S569" i="8"/>
  <c r="T569" i="8"/>
  <c r="R569" i="8"/>
  <c r="Q569" i="8"/>
  <c r="T487" i="8"/>
  <c r="S487" i="8"/>
  <c r="R487" i="8"/>
  <c r="Q487" i="8"/>
  <c r="T543" i="8"/>
  <c r="S543" i="8"/>
  <c r="R543" i="8"/>
  <c r="Q543" i="8"/>
  <c r="S493" i="8"/>
  <c r="R493" i="8"/>
  <c r="T493" i="8"/>
  <c r="Q493" i="8"/>
  <c r="T580" i="8"/>
  <c r="S580" i="8"/>
  <c r="R580" i="8"/>
  <c r="Q580" i="8"/>
  <c r="S547" i="8"/>
  <c r="T547" i="8"/>
  <c r="R547" i="8"/>
  <c r="Q547" i="8"/>
  <c r="T546" i="8"/>
  <c r="S546" i="8"/>
  <c r="R546" i="8"/>
  <c r="Q546" i="8"/>
  <c r="T489" i="8"/>
  <c r="S489" i="8"/>
  <c r="R489" i="8"/>
  <c r="Q489" i="8"/>
  <c r="T517" i="8"/>
  <c r="T516" i="8"/>
  <c r="S517" i="8"/>
  <c r="R517" i="8"/>
  <c r="Q517" i="8"/>
  <c r="S516" i="8"/>
  <c r="R516" i="8"/>
  <c r="Q516" i="8"/>
  <c r="S530" i="8"/>
  <c r="T530" i="8"/>
  <c r="R530" i="8"/>
  <c r="Q530" i="8"/>
  <c r="T548" i="8"/>
  <c r="S548" i="8"/>
  <c r="R548" i="8"/>
  <c r="Q548" i="8"/>
  <c r="T570" i="8"/>
  <c r="S570" i="8"/>
  <c r="R570" i="8"/>
  <c r="Q570" i="8"/>
  <c r="T524" i="8"/>
  <c r="S524" i="8"/>
  <c r="R524" i="8"/>
  <c r="Q524" i="8"/>
  <c r="S608" i="8"/>
  <c r="T608" i="8"/>
  <c r="R608" i="8"/>
  <c r="Q608" i="8"/>
  <c r="T600" i="8"/>
  <c r="S600" i="8"/>
  <c r="R600" i="8"/>
  <c r="Q600" i="8"/>
  <c r="T596" i="8"/>
  <c r="S596" i="8"/>
  <c r="R596" i="8"/>
  <c r="Q596" i="8"/>
  <c r="T535" i="8"/>
  <c r="Q535" i="8"/>
  <c r="T534" i="8"/>
  <c r="S535" i="8"/>
  <c r="R535" i="8"/>
  <c r="S534" i="8"/>
  <c r="R534" i="8"/>
  <c r="Q534" i="8"/>
  <c r="S550" i="8"/>
  <c r="S549" i="8"/>
  <c r="T550" i="8"/>
  <c r="T549" i="8"/>
  <c r="Q550" i="8"/>
  <c r="R550" i="8"/>
  <c r="R549" i="8"/>
  <c r="Q549" i="8"/>
  <c r="S588" i="8"/>
  <c r="T588" i="8"/>
  <c r="S587" i="8"/>
  <c r="T587" i="8"/>
  <c r="R588" i="8"/>
  <c r="R587" i="8"/>
  <c r="Q588" i="8"/>
  <c r="Q587" i="8"/>
  <c r="T576" i="8"/>
  <c r="S577" i="8"/>
  <c r="S576" i="8"/>
  <c r="R577" i="8"/>
  <c r="R576" i="8"/>
  <c r="Q577" i="8"/>
  <c r="Q576" i="8"/>
  <c r="T590" i="8"/>
  <c r="T589" i="8"/>
  <c r="S590" i="8"/>
  <c r="R590" i="8"/>
  <c r="S589" i="8"/>
  <c r="R589" i="8"/>
  <c r="Q590" i="8"/>
  <c r="Q589" i="8"/>
  <c r="T683" i="8"/>
  <c r="S683" i="8"/>
  <c r="R683" i="8"/>
  <c r="Q683" i="8"/>
  <c r="T674" i="8"/>
  <c r="S674" i="8"/>
  <c r="R674" i="8"/>
  <c r="Q674" i="8"/>
  <c r="S680" i="8"/>
  <c r="T680" i="8"/>
  <c r="R680" i="8"/>
  <c r="Q680" i="8"/>
  <c r="S675" i="8"/>
  <c r="T675" i="8"/>
  <c r="R675" i="8"/>
  <c r="Q675" i="8"/>
  <c r="T627" i="8"/>
  <c r="S627" i="8"/>
  <c r="R627" i="8"/>
  <c r="Q627" i="8"/>
  <c r="T655" i="8"/>
  <c r="S655" i="8"/>
  <c r="R655" i="8"/>
  <c r="Q655" i="8"/>
  <c r="T651" i="8"/>
  <c r="S651" i="8"/>
  <c r="R651" i="8"/>
  <c r="Q651" i="8"/>
  <c r="S650" i="8"/>
  <c r="T650" i="8"/>
  <c r="R650" i="8"/>
  <c r="Q650" i="8"/>
  <c r="T626" i="8"/>
  <c r="S626" i="8"/>
  <c r="R626" i="8"/>
  <c r="Q626" i="8"/>
  <c r="T648" i="8"/>
  <c r="S648" i="8"/>
  <c r="R648" i="8"/>
  <c r="Q648" i="8"/>
  <c r="S615" i="8"/>
  <c r="R615" i="8"/>
  <c r="Q615" i="8"/>
  <c r="T615" i="8"/>
  <c r="S617" i="8"/>
  <c r="T617" i="8"/>
  <c r="R617" i="8"/>
  <c r="Q617" i="8"/>
  <c r="S616" i="8"/>
  <c r="R616" i="8"/>
  <c r="T616" i="8"/>
  <c r="Q616" i="8"/>
  <c r="T614" i="8"/>
  <c r="S614" i="8"/>
  <c r="R614" i="8"/>
  <c r="Q614" i="8"/>
  <c r="S383" i="8"/>
  <c r="T383" i="8"/>
  <c r="R383" i="8"/>
  <c r="Q383" i="8"/>
  <c r="S479" i="8"/>
  <c r="T479" i="8"/>
  <c r="R479" i="8"/>
  <c r="Q479" i="8"/>
  <c r="T431" i="8"/>
  <c r="S431" i="8"/>
  <c r="R431" i="8"/>
  <c r="Q431" i="8"/>
  <c r="T433" i="8"/>
  <c r="S433" i="8"/>
  <c r="R433" i="8"/>
  <c r="Q433" i="8"/>
  <c r="T455" i="8"/>
  <c r="S455" i="8"/>
  <c r="R455" i="8"/>
  <c r="Q455" i="8"/>
  <c r="T432" i="8"/>
  <c r="S432" i="8"/>
  <c r="R432" i="8"/>
  <c r="Q432" i="8"/>
  <c r="T460" i="8"/>
  <c r="S460" i="8"/>
  <c r="R460" i="8"/>
  <c r="Q460" i="8"/>
  <c r="Q411" i="8"/>
  <c r="T400" i="8"/>
  <c r="S400" i="8"/>
  <c r="R400" i="8"/>
  <c r="Q400" i="8"/>
  <c r="S409" i="8"/>
  <c r="Q410" i="8"/>
  <c r="T409" i="8"/>
  <c r="R409" i="8"/>
  <c r="Q409" i="8"/>
  <c r="T437" i="8"/>
  <c r="S437" i="8"/>
  <c r="R437" i="8"/>
  <c r="Q437" i="8"/>
  <c r="S446" i="8"/>
  <c r="T446" i="8"/>
  <c r="R446" i="8"/>
  <c r="Q446" i="8"/>
  <c r="S404" i="8"/>
  <c r="T404" i="8"/>
  <c r="R404" i="8"/>
  <c r="Q404" i="8"/>
  <c r="S415" i="8"/>
  <c r="T415" i="8"/>
  <c r="R415" i="8"/>
  <c r="Q415" i="8"/>
  <c r="S422" i="8"/>
  <c r="T422" i="8"/>
  <c r="R422" i="8"/>
  <c r="Q422" i="8"/>
  <c r="S428" i="8"/>
  <c r="T428" i="8"/>
  <c r="R428" i="8"/>
  <c r="Q428" i="8"/>
  <c r="S407" i="8"/>
  <c r="T407" i="8"/>
  <c r="R407" i="8"/>
  <c r="Q407" i="8"/>
  <c r="S429" i="8"/>
  <c r="T429" i="8"/>
  <c r="R429" i="8"/>
  <c r="Q429" i="8"/>
  <c r="T307" i="8"/>
  <c r="S307" i="8"/>
  <c r="R307" i="8"/>
  <c r="Q307" i="8"/>
  <c r="S221" i="8"/>
  <c r="T221" i="8"/>
  <c r="R221" i="8"/>
  <c r="Q221" i="8"/>
  <c r="S199" i="8"/>
  <c r="R199" i="8"/>
  <c r="Q199" i="8"/>
  <c r="T199" i="8"/>
  <c r="Q130" i="8"/>
  <c r="S130" i="8"/>
  <c r="S129" i="8"/>
  <c r="T130" i="8"/>
  <c r="R130" i="8"/>
  <c r="T129" i="8"/>
  <c r="R129" i="8"/>
  <c r="Q129" i="8"/>
  <c r="S117" i="8"/>
  <c r="T117" i="8"/>
  <c r="R117" i="8"/>
  <c r="T116" i="8"/>
  <c r="S116" i="8"/>
  <c r="R116" i="8"/>
  <c r="Q117" i="8"/>
  <c r="Q116" i="8"/>
  <c r="S97" i="8"/>
  <c r="T97" i="8"/>
  <c r="R97" i="8"/>
  <c r="Q97" i="8"/>
  <c r="S96" i="8"/>
  <c r="T96" i="8"/>
  <c r="R96" i="8"/>
  <c r="S95" i="8"/>
  <c r="T95" i="8"/>
  <c r="R95" i="8"/>
  <c r="Q96" i="8"/>
  <c r="Q95" i="8"/>
  <c r="S99" i="8"/>
  <c r="T99" i="8"/>
  <c r="R99" i="8"/>
  <c r="Q99" i="8"/>
  <c r="T78" i="8"/>
  <c r="S78" i="8"/>
  <c r="R78" i="8"/>
  <c r="Q78" i="8"/>
  <c r="B484" i="8" l="1"/>
  <c r="B485" i="8" s="1"/>
  <c r="B486" i="8" s="1"/>
  <c r="B487" i="8" s="1"/>
  <c r="B488" i="8" s="1"/>
  <c r="B489" i="8" s="1"/>
  <c r="B490" i="8" s="1"/>
  <c r="B491" i="8" s="1"/>
  <c r="B492" i="8" s="1"/>
  <c r="B493" i="8" s="1"/>
  <c r="B494" i="8" s="1"/>
  <c r="B495" i="8" s="1"/>
  <c r="B496" i="8" s="1"/>
  <c r="B497" i="8" s="1"/>
  <c r="B498" i="8" s="1"/>
  <c r="B499" i="8" s="1"/>
  <c r="B500" i="8" s="1"/>
  <c r="B501" i="8" s="1"/>
  <c r="B502" i="8" s="1"/>
  <c r="B503" i="8" s="1"/>
  <c r="B504" i="8" s="1"/>
  <c r="B505" i="8" s="1"/>
  <c r="B506" i="8" s="1"/>
  <c r="B507" i="8" s="1"/>
  <c r="B508" i="8" s="1"/>
  <c r="B509" i="8" s="1"/>
  <c r="B510" i="8" s="1"/>
  <c r="B511" i="8" s="1"/>
  <c r="B512" i="8" s="1"/>
  <c r="B513" i="8" s="1"/>
  <c r="B514" i="8" s="1"/>
  <c r="B515" i="8" s="1"/>
  <c r="B516" i="8" s="1"/>
  <c r="B517" i="8" s="1"/>
  <c r="B518" i="8" s="1"/>
  <c r="B519" i="8" s="1"/>
  <c r="B520" i="8" s="1"/>
  <c r="B228" i="8"/>
  <c r="B229" i="8" s="1"/>
  <c r="B230" i="8" s="1"/>
  <c r="P227" i="8"/>
  <c r="B384" i="8"/>
  <c r="P383" i="8"/>
  <c r="T11" i="8"/>
  <c r="S11" i="8"/>
  <c r="R11" i="8"/>
  <c r="Q11" i="8"/>
  <c r="T32" i="8"/>
  <c r="S32" i="8"/>
  <c r="R32" i="8"/>
  <c r="Q32" i="8"/>
  <c r="T658" i="8"/>
  <c r="S658" i="8"/>
  <c r="R658" i="8"/>
  <c r="Q658" i="8"/>
  <c r="T656" i="8"/>
  <c r="S656" i="8"/>
  <c r="R656" i="8"/>
  <c r="Q656" i="8"/>
  <c r="T646" i="8"/>
  <c r="S646" i="8"/>
  <c r="R646" i="8"/>
  <c r="Q646" i="8"/>
  <c r="T620" i="8"/>
  <c r="S620" i="8"/>
  <c r="R620" i="8"/>
  <c r="Q620" i="8"/>
  <c r="T394" i="8"/>
  <c r="S394" i="8"/>
  <c r="R394" i="8"/>
  <c r="Q394" i="8"/>
  <c r="T379" i="8"/>
  <c r="S379" i="8"/>
  <c r="R379" i="8"/>
  <c r="Q379" i="8"/>
  <c r="S218" i="8"/>
  <c r="T218" i="8"/>
  <c r="R218" i="8"/>
  <c r="Q218" i="8"/>
  <c r="T168" i="8"/>
  <c r="S168" i="8"/>
  <c r="R168" i="8"/>
  <c r="Q168" i="8"/>
  <c r="S167" i="8"/>
  <c r="T167" i="8"/>
  <c r="R167" i="8"/>
  <c r="Q167" i="8"/>
  <c r="S191" i="8"/>
  <c r="T191" i="8"/>
  <c r="R191" i="8"/>
  <c r="Q191" i="8"/>
  <c r="S225" i="8"/>
  <c r="T225" i="8"/>
  <c r="R225" i="8"/>
  <c r="Q225" i="8"/>
  <c r="S210" i="8"/>
  <c r="T210" i="8"/>
  <c r="R210" i="8"/>
  <c r="Q210" i="8"/>
  <c r="T350" i="8"/>
  <c r="S350" i="8"/>
  <c r="S334" i="8"/>
  <c r="R350" i="8"/>
  <c r="Q350" i="8"/>
  <c r="T334" i="8"/>
  <c r="R334" i="8"/>
  <c r="Q334" i="8"/>
  <c r="S353" i="8"/>
  <c r="S349" i="8"/>
  <c r="T349" i="8"/>
  <c r="R349" i="8"/>
  <c r="Q349" i="8"/>
  <c r="T353" i="8"/>
  <c r="R353" i="8"/>
  <c r="Q353" i="8"/>
  <c r="S342" i="8"/>
  <c r="T342" i="8"/>
  <c r="R342" i="8"/>
  <c r="Q342" i="8"/>
  <c r="S19" i="8"/>
  <c r="T19" i="8"/>
  <c r="R19" i="8"/>
  <c r="Q19" i="8"/>
  <c r="S33" i="8"/>
  <c r="T33" i="8"/>
  <c r="R33" i="8"/>
  <c r="Q33" i="8"/>
  <c r="S28" i="8"/>
  <c r="T28" i="8"/>
  <c r="R28" i="8"/>
  <c r="Q28" i="8"/>
  <c r="S29" i="8"/>
  <c r="T29" i="8"/>
  <c r="R29" i="8"/>
  <c r="Q29" i="8"/>
  <c r="S17" i="8"/>
  <c r="T17" i="8"/>
  <c r="R17" i="8"/>
  <c r="Q17" i="8"/>
  <c r="S20" i="8"/>
  <c r="T20" i="8"/>
  <c r="R20" i="8"/>
  <c r="Q20" i="8"/>
  <c r="S27" i="8"/>
  <c r="T27" i="8"/>
  <c r="R27" i="8"/>
  <c r="Q27" i="8"/>
  <c r="B34" i="8"/>
  <c r="B35" i="8" s="1"/>
  <c r="B36" i="8" s="1"/>
  <c r="B37" i="8" s="1"/>
  <c r="B38" i="8" s="1"/>
  <c r="B39" i="8" s="1"/>
  <c r="B40" i="8" s="1"/>
  <c r="B41" i="8" s="1"/>
  <c r="B42" i="8" s="1"/>
  <c r="B43" i="8" s="1"/>
  <c r="B44" i="8" s="1"/>
  <c r="B45" i="8" s="1"/>
  <c r="B46" i="8" s="1"/>
  <c r="B47" i="8" s="1"/>
  <c r="B48" i="8" s="1"/>
  <c r="B49" i="8" s="1"/>
  <c r="B50" i="8" s="1"/>
  <c r="B51" i="8" s="1"/>
  <c r="B52" i="8" s="1"/>
  <c r="B53" i="8" s="1"/>
  <c r="B54" i="8" s="1"/>
  <c r="B55" i="8" s="1"/>
  <c r="B56" i="8" s="1"/>
  <c r="B57" i="8" s="1"/>
  <c r="B58" i="8" s="1"/>
  <c r="B59" i="8" s="1"/>
  <c r="B60" i="8" s="1"/>
  <c r="B61" i="8" s="1"/>
  <c r="B62" i="8"/>
  <c r="B63" i="8" s="1"/>
  <c r="B64" i="8" s="1"/>
  <c r="B65" i="8" s="1"/>
  <c r="B66" i="8" s="1"/>
  <c r="B67" i="8" s="1"/>
  <c r="B68" i="8" s="1"/>
  <c r="B69" i="8" s="1"/>
  <c r="B70" i="8" s="1"/>
  <c r="B71" i="8" s="1"/>
  <c r="B72" i="8"/>
  <c r="B73" i="8" s="1"/>
  <c r="B74" i="8" s="1"/>
  <c r="B75" i="8" s="1"/>
  <c r="B76" i="8" s="1"/>
  <c r="B77" i="8" s="1"/>
  <c r="B78" i="8" s="1"/>
  <c r="B91" i="8"/>
  <c r="B92" i="8" s="1"/>
  <c r="B93" i="8" s="1"/>
  <c r="B94" i="8" s="1"/>
  <c r="B95" i="8" s="1"/>
  <c r="B131" i="8"/>
  <c r="B132" i="8" s="1"/>
  <c r="B133" i="8" s="1"/>
  <c r="B134" i="8" s="1"/>
  <c r="B135" i="8" s="1"/>
  <c r="B136" i="8" s="1"/>
  <c r="B137" i="8" s="1"/>
  <c r="B138" i="8" s="1"/>
  <c r="B139" i="8" s="1"/>
  <c r="B140" i="8" s="1"/>
  <c r="B141" i="8" s="1"/>
  <c r="B142" i="8" s="1"/>
  <c r="B143" i="8" s="1"/>
  <c r="B144" i="8"/>
  <c r="B145" i="8" s="1"/>
  <c r="B146" i="8" s="1"/>
  <c r="B147" i="8" s="1"/>
  <c r="B148" i="8" s="1"/>
  <c r="B149" i="8" s="1"/>
  <c r="B150" i="8" s="1"/>
  <c r="B151" i="8" s="1"/>
  <c r="B152" i="8" s="1"/>
  <c r="B153" i="8" s="1"/>
  <c r="B154" i="8" s="1"/>
  <c r="B155" i="8" s="1"/>
  <c r="B156" i="8" s="1"/>
  <c r="B157" i="8" s="1"/>
  <c r="B158" i="8" s="1"/>
  <c r="B159" i="8" s="1"/>
  <c r="B160" i="8" s="1"/>
  <c r="B161" i="8" s="1"/>
  <c r="B162" i="8" s="1"/>
  <c r="B163" i="8"/>
  <c r="B164" i="8" s="1"/>
  <c r="B165" i="8" s="1"/>
  <c r="B166" i="8" s="1"/>
  <c r="B167" i="8" s="1"/>
  <c r="B168" i="8" s="1"/>
  <c r="B169" i="8" s="1"/>
  <c r="B397" i="8"/>
  <c r="B398" i="8" s="1"/>
  <c r="B399" i="8" s="1"/>
  <c r="B400" i="8" s="1"/>
  <c r="B463" i="8"/>
  <c r="B464" i="8" s="1"/>
  <c r="B465" i="8" s="1"/>
  <c r="B466" i="8" s="1"/>
  <c r="B467" i="8" s="1"/>
  <c r="S16" i="8"/>
  <c r="T16" i="8"/>
  <c r="R16" i="8"/>
  <c r="Q16" i="8"/>
  <c r="S45" i="8"/>
  <c r="T45" i="8"/>
  <c r="R45" i="8"/>
  <c r="Q45" i="8"/>
  <c r="S52" i="8"/>
  <c r="T52" i="8"/>
  <c r="R52" i="8"/>
  <c r="Q52" i="8"/>
  <c r="S60" i="8"/>
  <c r="T60" i="8"/>
  <c r="R60" i="8"/>
  <c r="Q60" i="8"/>
  <c r="S56" i="8"/>
  <c r="T56" i="8"/>
  <c r="R56" i="8"/>
  <c r="Q56" i="8"/>
  <c r="S54" i="8"/>
  <c r="T54" i="8"/>
  <c r="R54" i="8"/>
  <c r="Q54" i="8"/>
  <c r="S65" i="8"/>
  <c r="T65" i="8"/>
  <c r="R65" i="8"/>
  <c r="Q65" i="8"/>
  <c r="T666" i="8"/>
  <c r="T661" i="8"/>
  <c r="T662" i="8"/>
  <c r="S666" i="8"/>
  <c r="S661" i="8"/>
  <c r="S662" i="8"/>
  <c r="R666" i="8"/>
  <c r="R661" i="8"/>
  <c r="R662" i="8"/>
  <c r="Q666" i="8"/>
  <c r="Q661" i="8"/>
  <c r="Q662" i="8"/>
  <c r="T687" i="8"/>
  <c r="S687" i="8"/>
  <c r="R687" i="8"/>
  <c r="Q687" i="8"/>
  <c r="T686" i="8"/>
  <c r="S686" i="8"/>
  <c r="R686" i="8"/>
  <c r="Q686" i="8"/>
  <c r="S685" i="8"/>
  <c r="T685" i="8"/>
  <c r="R685" i="8"/>
  <c r="Q685" i="8"/>
  <c r="T684" i="8"/>
  <c r="S684" i="8"/>
  <c r="R684" i="8"/>
  <c r="Q684" i="8"/>
  <c r="T682" i="8"/>
  <c r="S682" i="8"/>
  <c r="R682" i="8"/>
  <c r="Q682" i="8"/>
  <c r="S671" i="8"/>
  <c r="T671" i="8"/>
  <c r="R671" i="8"/>
  <c r="Q671" i="8"/>
  <c r="S670" i="8"/>
  <c r="T670" i="8"/>
  <c r="R670" i="8"/>
  <c r="Q670" i="8"/>
  <c r="T497" i="8"/>
  <c r="S497" i="8"/>
  <c r="R497" i="8"/>
  <c r="Q497" i="8"/>
  <c r="T545" i="8"/>
  <c r="S545" i="8"/>
  <c r="R545" i="8"/>
  <c r="Q545" i="8"/>
  <c r="T562" i="8"/>
  <c r="S562" i="8"/>
  <c r="R562" i="8"/>
  <c r="Q562" i="8"/>
  <c r="T566" i="8"/>
  <c r="S566" i="8"/>
  <c r="S484" i="8"/>
  <c r="T484" i="8"/>
  <c r="R566" i="8"/>
  <c r="Q566" i="8"/>
  <c r="R484" i="8"/>
  <c r="Q484" i="8"/>
  <c r="S605" i="8"/>
  <c r="T605" i="8"/>
  <c r="R605" i="8"/>
  <c r="Q605" i="8"/>
  <c r="T313" i="8"/>
  <c r="S313" i="8"/>
  <c r="R313" i="8"/>
  <c r="Q313" i="8"/>
  <c r="D2" i="31"/>
  <c r="D2" i="38"/>
  <c r="D2" i="25"/>
  <c r="D2" i="23"/>
  <c r="D2" i="36"/>
  <c r="B521" i="8" l="1"/>
  <c r="B522" i="8" s="1"/>
  <c r="B523" i="8" s="1"/>
  <c r="B524" i="8" s="1"/>
  <c r="B525" i="8" s="1"/>
  <c r="B526" i="8" s="1"/>
  <c r="B527" i="8" s="1"/>
  <c r="B528" i="8" s="1"/>
  <c r="B529" i="8" s="1"/>
  <c r="B530" i="8" s="1"/>
  <c r="B531" i="8" s="1"/>
  <c r="B532" i="8" s="1"/>
  <c r="B533" i="8" s="1"/>
  <c r="B534" i="8" s="1"/>
  <c r="B535" i="8" s="1"/>
  <c r="B536" i="8" s="1"/>
  <c r="B537" i="8" s="1"/>
  <c r="B538" i="8" s="1"/>
  <c r="B539" i="8" s="1"/>
  <c r="B540" i="8" s="1"/>
  <c r="B541" i="8" s="1"/>
  <c r="B542" i="8" s="1"/>
  <c r="B543" i="8" s="1"/>
  <c r="B544" i="8" s="1"/>
  <c r="B545" i="8" s="1"/>
  <c r="P520" i="8"/>
  <c r="B231" i="8"/>
  <c r="B232" i="8" s="1"/>
  <c r="B233" i="8" s="1"/>
  <c r="B234" i="8" s="1"/>
  <c r="B235" i="8" s="1"/>
  <c r="B236" i="8" s="1"/>
  <c r="B237" i="8" s="1"/>
  <c r="B238" i="8" s="1"/>
  <c r="B239" i="8" s="1"/>
  <c r="P230" i="8"/>
  <c r="P479" i="8"/>
  <c r="P400" i="8"/>
  <c r="B401" i="8"/>
  <c r="B402" i="8" s="1"/>
  <c r="B403" i="8" s="1"/>
  <c r="B404" i="8" s="1"/>
  <c r="P674" i="8"/>
  <c r="P614" i="8"/>
  <c r="P384" i="8"/>
  <c r="B385" i="8"/>
  <c r="B96" i="8"/>
  <c r="P95" i="8"/>
  <c r="B79" i="8"/>
  <c r="P78" i="8"/>
  <c r="P54" i="8"/>
  <c r="P349" i="8"/>
  <c r="P168" i="8"/>
  <c r="P167" i="8"/>
  <c r="P350" i="8"/>
  <c r="P45" i="8"/>
  <c r="P342" i="8"/>
  <c r="P65" i="8"/>
  <c r="P334" i="8"/>
  <c r="P60" i="8"/>
  <c r="P56" i="8"/>
  <c r="P379" i="8"/>
  <c r="P52" i="8"/>
  <c r="B170" i="8"/>
  <c r="B171" i="8" s="1"/>
  <c r="B172" i="8" s="1"/>
  <c r="B173" i="8" s="1"/>
  <c r="B174" i="8" s="1"/>
  <c r="B175" i="8" s="1"/>
  <c r="B176" i="8" s="1"/>
  <c r="B177" i="8" s="1"/>
  <c r="B178" i="8" s="1"/>
  <c r="B179" i="8" s="1"/>
  <c r="B180" i="8" s="1"/>
  <c r="B181" i="8" s="1"/>
  <c r="B182" i="8" s="1"/>
  <c r="B183" i="8" s="1"/>
  <c r="B184" i="8" s="1"/>
  <c r="B185" i="8" s="1"/>
  <c r="B186" i="8" s="1"/>
  <c r="B187" i="8" s="1"/>
  <c r="B188" i="8" s="1"/>
  <c r="B189" i="8" s="1"/>
  <c r="B190" i="8" s="1"/>
  <c r="B191" i="8" s="1"/>
  <c r="P661" i="8"/>
  <c r="Q672" i="8"/>
  <c r="R672" i="8"/>
  <c r="S672" i="8"/>
  <c r="T672" i="8"/>
  <c r="Q706" i="8"/>
  <c r="R706" i="8"/>
  <c r="S706" i="8"/>
  <c r="T706" i="8"/>
  <c r="Q128" i="8"/>
  <c r="R128" i="8"/>
  <c r="S128" i="8"/>
  <c r="T128" i="8"/>
  <c r="Q125" i="8"/>
  <c r="R125" i="8"/>
  <c r="S125" i="8"/>
  <c r="T125" i="8"/>
  <c r="Q92" i="8"/>
  <c r="R92" i="8"/>
  <c r="S92" i="8"/>
  <c r="T92" i="8"/>
  <c r="Q177" i="8"/>
  <c r="R177" i="8"/>
  <c r="S177" i="8"/>
  <c r="T177" i="8"/>
  <c r="Q204" i="8"/>
  <c r="R204" i="8"/>
  <c r="S204" i="8"/>
  <c r="T204" i="8"/>
  <c r="Q288" i="8"/>
  <c r="R288" i="8"/>
  <c r="S288" i="8"/>
  <c r="T288" i="8"/>
  <c r="Q299" i="8"/>
  <c r="R299" i="8"/>
  <c r="S299" i="8"/>
  <c r="T299" i="8"/>
  <c r="Q330" i="8"/>
  <c r="R330" i="8"/>
  <c r="S330" i="8"/>
  <c r="T330" i="8"/>
  <c r="Q255" i="8"/>
  <c r="R255" i="8"/>
  <c r="S255" i="8"/>
  <c r="T255" i="8"/>
  <c r="Q469" i="8"/>
  <c r="R469" i="8"/>
  <c r="S469" i="8"/>
  <c r="T469" i="8"/>
  <c r="Q403" i="8"/>
  <c r="R403" i="8"/>
  <c r="S403" i="8"/>
  <c r="T403" i="8"/>
  <c r="Q452" i="8"/>
  <c r="R452" i="8"/>
  <c r="S452" i="8"/>
  <c r="T452" i="8"/>
  <c r="Q652" i="8"/>
  <c r="R652" i="8"/>
  <c r="S652" i="8"/>
  <c r="T652" i="8"/>
  <c r="B240" i="8" l="1"/>
  <c r="B241" i="8" s="1"/>
  <c r="B242" i="8" s="1"/>
  <c r="B243" i="8" s="1"/>
  <c r="B244" i="8" s="1"/>
  <c r="B245" i="8" s="1"/>
  <c r="B246" i="8" s="1"/>
  <c r="B247" i="8" s="1"/>
  <c r="B248" i="8" s="1"/>
  <c r="B249" i="8" s="1"/>
  <c r="B250" i="8" s="1"/>
  <c r="B251" i="8" s="1"/>
  <c r="B252" i="8" s="1"/>
  <c r="B253" i="8" s="1"/>
  <c r="B254" i="8" s="1"/>
  <c r="B255" i="8" s="1"/>
  <c r="B256" i="8" s="1"/>
  <c r="B257" i="8" s="1"/>
  <c r="B258" i="8" s="1"/>
  <c r="P239" i="8"/>
  <c r="P385" i="8"/>
  <c r="B386" i="8"/>
  <c r="P615" i="8"/>
  <c r="P675" i="8"/>
  <c r="B405" i="8"/>
  <c r="B406" i="8" s="1"/>
  <c r="B407" i="8" s="1"/>
  <c r="P404" i="8"/>
  <c r="B97" i="8"/>
  <c r="P96" i="8"/>
  <c r="B80" i="8"/>
  <c r="P79" i="8"/>
  <c r="P353" i="8"/>
  <c r="B192" i="8"/>
  <c r="B193" i="8" s="1"/>
  <c r="B194" i="8" s="1"/>
  <c r="B195" i="8" s="1"/>
  <c r="B196" i="8" s="1"/>
  <c r="B197" i="8" s="1"/>
  <c r="B198" i="8" s="1"/>
  <c r="P191" i="8"/>
  <c r="P662" i="8"/>
  <c r="P398" i="8"/>
  <c r="Q9" i="8"/>
  <c r="R9" i="8"/>
  <c r="S9" i="8"/>
  <c r="T9" i="8"/>
  <c r="Q18" i="8"/>
  <c r="R18" i="8"/>
  <c r="S18" i="8"/>
  <c r="T18" i="8"/>
  <c r="Q165" i="8"/>
  <c r="R165" i="8"/>
  <c r="S165" i="8"/>
  <c r="T165" i="8"/>
  <c r="Q179" i="8"/>
  <c r="R179" i="8"/>
  <c r="S179" i="8"/>
  <c r="T179" i="8"/>
  <c r="Q180" i="8"/>
  <c r="R180" i="8"/>
  <c r="S180" i="8"/>
  <c r="T180" i="8"/>
  <c r="Q216" i="8"/>
  <c r="R216" i="8"/>
  <c r="S216" i="8"/>
  <c r="T216" i="8"/>
  <c r="Q219" i="8"/>
  <c r="R219" i="8"/>
  <c r="S219" i="8"/>
  <c r="T219" i="8"/>
  <c r="Q274" i="8"/>
  <c r="R274" i="8"/>
  <c r="S274" i="8"/>
  <c r="T274" i="8"/>
  <c r="P397" i="8"/>
  <c r="Q397" i="8"/>
  <c r="R397" i="8"/>
  <c r="S397" i="8"/>
  <c r="T397" i="8"/>
  <c r="Q398" i="8"/>
  <c r="R398" i="8"/>
  <c r="S398" i="8"/>
  <c r="T398" i="8"/>
  <c r="Q408" i="8"/>
  <c r="R408" i="8"/>
  <c r="S408" i="8"/>
  <c r="T408" i="8"/>
  <c r="Q583" i="8"/>
  <c r="R583" i="8"/>
  <c r="S583" i="8"/>
  <c r="T583" i="8"/>
  <c r="AJ34" i="38"/>
  <c r="AJ33" i="38"/>
  <c r="AJ34" i="25"/>
  <c r="AJ33" i="25"/>
  <c r="C12" i="38"/>
  <c r="I12" i="38"/>
  <c r="J12" i="38"/>
  <c r="Q12" i="38"/>
  <c r="X12" i="38"/>
  <c r="Y12" i="38"/>
  <c r="C13" i="38"/>
  <c r="I13" i="38"/>
  <c r="J13" i="38"/>
  <c r="Q13" i="38"/>
  <c r="X13" i="38"/>
  <c r="Y13" i="38"/>
  <c r="T17" i="39"/>
  <c r="M17" i="39"/>
  <c r="H17" i="39"/>
  <c r="A17" i="39"/>
  <c r="W16" i="39"/>
  <c r="T16" i="39"/>
  <c r="N16" i="39"/>
  <c r="K16" i="39"/>
  <c r="H16" i="39"/>
  <c r="M15" i="39"/>
  <c r="A15" i="39"/>
  <c r="F4" i="39"/>
  <c r="E4" i="39"/>
  <c r="D4" i="39"/>
  <c r="C4" i="39"/>
  <c r="AF3" i="39"/>
  <c r="Y3" i="39"/>
  <c r="T3" i="39"/>
  <c r="M3" i="39"/>
  <c r="H3" i="39"/>
  <c r="A3" i="39"/>
  <c r="AI2" i="39"/>
  <c r="AF2" i="39"/>
  <c r="AC2" i="39"/>
  <c r="W2" i="39"/>
  <c r="T2" i="39"/>
  <c r="K2" i="39"/>
  <c r="H2" i="39"/>
  <c r="B2" i="39"/>
  <c r="Y1" i="39"/>
  <c r="M1" i="39"/>
  <c r="F32" i="38"/>
  <c r="AW21" i="38"/>
  <c r="AV21" i="38"/>
  <c r="AU21" i="38"/>
  <c r="AT21" i="38"/>
  <c r="AS21" i="38"/>
  <c r="AR21" i="38"/>
  <c r="AQ21" i="38"/>
  <c r="AP21" i="38"/>
  <c r="AO21" i="38"/>
  <c r="AN21" i="38"/>
  <c r="AM21" i="38"/>
  <c r="AL21" i="38"/>
  <c r="AK21" i="38"/>
  <c r="AJ21" i="38"/>
  <c r="AI21" i="38"/>
  <c r="U21" i="38"/>
  <c r="AW20" i="38"/>
  <c r="AV20" i="38"/>
  <c r="AU20" i="38"/>
  <c r="AT20" i="38"/>
  <c r="AS20" i="38"/>
  <c r="AR20" i="38"/>
  <c r="AQ20" i="38"/>
  <c r="AP20" i="38"/>
  <c r="AO20" i="38"/>
  <c r="AN20" i="38"/>
  <c r="AM20" i="38"/>
  <c r="AL20" i="38"/>
  <c r="AK20" i="38"/>
  <c r="AJ20" i="38"/>
  <c r="AI20" i="38"/>
  <c r="U20" i="38"/>
  <c r="AW19" i="38"/>
  <c r="AV19" i="38"/>
  <c r="AU19" i="38"/>
  <c r="AT19" i="38"/>
  <c r="AS19" i="38"/>
  <c r="AR19" i="38"/>
  <c r="AQ19" i="38"/>
  <c r="AP19" i="38"/>
  <c r="AO19" i="38"/>
  <c r="AN19" i="38"/>
  <c r="AM19" i="38"/>
  <c r="AL19" i="38"/>
  <c r="AK19" i="38"/>
  <c r="AJ19" i="38"/>
  <c r="AI19" i="38"/>
  <c r="U19" i="38"/>
  <c r="AW18" i="38"/>
  <c r="AV18" i="38"/>
  <c r="AU18" i="38"/>
  <c r="AT18" i="38"/>
  <c r="AS18" i="38"/>
  <c r="AR18" i="38"/>
  <c r="AQ18" i="38"/>
  <c r="AP18" i="38"/>
  <c r="AO18" i="38"/>
  <c r="AN18" i="38"/>
  <c r="AM18" i="38"/>
  <c r="AL18" i="38"/>
  <c r="AK18" i="38"/>
  <c r="AJ18" i="38"/>
  <c r="AI18" i="38"/>
  <c r="U18" i="38"/>
  <c r="AW17" i="38"/>
  <c r="AV17" i="38"/>
  <c r="AU17" i="38"/>
  <c r="AT17" i="38"/>
  <c r="AS17" i="38"/>
  <c r="AR17" i="38"/>
  <c r="AQ17" i="38"/>
  <c r="AP17" i="38"/>
  <c r="AO17" i="38"/>
  <c r="AN17" i="38"/>
  <c r="AM17" i="38"/>
  <c r="AL17" i="38"/>
  <c r="AK17" i="38"/>
  <c r="AJ17" i="38"/>
  <c r="AI17" i="38"/>
  <c r="U17" i="38"/>
  <c r="O16" i="38"/>
  <c r="J26" i="38" s="1"/>
  <c r="F16" i="38"/>
  <c r="J27" i="38" s="1"/>
  <c r="Y11" i="38"/>
  <c r="X11" i="38"/>
  <c r="A25" i="39" s="1"/>
  <c r="Q11" i="38"/>
  <c r="M10" i="39" s="1"/>
  <c r="A24" i="39" s="1"/>
  <c r="J11" i="38"/>
  <c r="I11" i="38"/>
  <c r="Y8" i="39" s="1"/>
  <c r="C11" i="38"/>
  <c r="C26" i="39" s="1"/>
  <c r="Y10" i="38"/>
  <c r="X10" i="38"/>
  <c r="Y11" i="39" s="1"/>
  <c r="Q10" i="38"/>
  <c r="Y10" i="39" s="1"/>
  <c r="J10" i="38"/>
  <c r="I10" i="38"/>
  <c r="A22" i="39" s="1"/>
  <c r="C10" i="38"/>
  <c r="A7" i="39" s="1"/>
  <c r="A21" i="39" s="1"/>
  <c r="BQ16" i="38"/>
  <c r="CJ1" i="38"/>
  <c r="CH1" i="38"/>
  <c r="CG1" i="38"/>
  <c r="CF1" i="38"/>
  <c r="CC1" i="38"/>
  <c r="B259" i="8" l="1"/>
  <c r="B260" i="8" s="1"/>
  <c r="B261" i="8" s="1"/>
  <c r="B262" i="8" s="1"/>
  <c r="B263" i="8" s="1"/>
  <c r="B264" i="8" s="1"/>
  <c r="B265" i="8" s="1"/>
  <c r="P258" i="8"/>
  <c r="P407" i="8"/>
  <c r="B408" i="8"/>
  <c r="B409" i="8" s="1"/>
  <c r="P680" i="8"/>
  <c r="P616" i="8"/>
  <c r="B387" i="8"/>
  <c r="P386" i="8"/>
  <c r="B199" i="8"/>
  <c r="B98" i="8"/>
  <c r="P97" i="8"/>
  <c r="B81" i="8"/>
  <c r="P80" i="8"/>
  <c r="P666" i="8"/>
  <c r="BQ12" i="38"/>
  <c r="P706" i="8"/>
  <c r="BQ13" i="38"/>
  <c r="P179" i="8"/>
  <c r="P165" i="8"/>
  <c r="AL33" i="38"/>
  <c r="CO1" i="38" s="1"/>
  <c r="AK34" i="38"/>
  <c r="AL34" i="38"/>
  <c r="CP1" i="38" s="1"/>
  <c r="AK33" i="38"/>
  <c r="O32" i="38"/>
  <c r="BQ11" i="38"/>
  <c r="F17" i="38"/>
  <c r="F18" i="38"/>
  <c r="Y7" i="39"/>
  <c r="B16" i="39"/>
  <c r="CR1" i="38"/>
  <c r="CD1" i="38"/>
  <c r="CE1" i="38"/>
  <c r="O20" i="38"/>
  <c r="B4" i="39"/>
  <c r="M7" i="39"/>
  <c r="A11" i="39"/>
  <c r="O19" i="38"/>
  <c r="CS1" i="38"/>
  <c r="BJ41" i="38"/>
  <c r="A8" i="39"/>
  <c r="M24" i="39"/>
  <c r="M11" i="39"/>
  <c r="BJ39" i="38"/>
  <c r="BJ42" i="38"/>
  <c r="N2" i="39"/>
  <c r="M8" i="39"/>
  <c r="C12" i="39"/>
  <c r="O18" i="38"/>
  <c r="O12" i="39"/>
  <c r="M21" i="39"/>
  <c r="BQ14" i="38"/>
  <c r="BQ15" i="38"/>
  <c r="BQ18" i="38"/>
  <c r="F20" i="38"/>
  <c r="BJ40" i="38"/>
  <c r="A10" i="39"/>
  <c r="AA12" i="39"/>
  <c r="M25" i="39"/>
  <c r="O17" i="38"/>
  <c r="Z2" i="39"/>
  <c r="BQ17" i="38"/>
  <c r="F19" i="38"/>
  <c r="M22" i="39"/>
  <c r="B200" i="8" l="1"/>
  <c r="P199" i="8"/>
  <c r="B266" i="8"/>
  <c r="B267" i="8" s="1"/>
  <c r="B268" i="8" s="1"/>
  <c r="B269" i="8" s="1"/>
  <c r="B270" i="8" s="1"/>
  <c r="P265" i="8"/>
  <c r="P683" i="8"/>
  <c r="B410" i="8"/>
  <c r="P409" i="8"/>
  <c r="P408" i="8"/>
  <c r="B388" i="8"/>
  <c r="P387" i="8"/>
  <c r="P617" i="8"/>
  <c r="B99" i="8"/>
  <c r="P98" i="8"/>
  <c r="B82" i="8"/>
  <c r="P81" i="8"/>
  <c r="P670" i="8"/>
  <c r="P177" i="8"/>
  <c r="P180" i="8"/>
  <c r="L20" i="38"/>
  <c r="F21" i="38"/>
  <c r="L19" i="38"/>
  <c r="L17" i="38"/>
  <c r="O21" i="38"/>
  <c r="L18" i="38"/>
  <c r="Z4" i="39"/>
  <c r="N4" i="39"/>
  <c r="N18" i="39"/>
  <c r="B18" i="39"/>
  <c r="B201" i="8" l="1"/>
  <c r="P200" i="8"/>
  <c r="B271" i="8"/>
  <c r="B272" i="8" s="1"/>
  <c r="B273" i="8" s="1"/>
  <c r="B274" i="8" s="1"/>
  <c r="B275" i="8" s="1"/>
  <c r="P270" i="8"/>
  <c r="B411" i="8"/>
  <c r="P410" i="8"/>
  <c r="P620" i="8"/>
  <c r="B389" i="8"/>
  <c r="P388" i="8"/>
  <c r="B100" i="8"/>
  <c r="B101" i="8" s="1"/>
  <c r="B102" i="8" s="1"/>
  <c r="B103" i="8" s="1"/>
  <c r="B104" i="8" s="1"/>
  <c r="B105" i="8" s="1"/>
  <c r="B106" i="8" s="1"/>
  <c r="B107" i="8" s="1"/>
  <c r="B108" i="8" s="1"/>
  <c r="B109" i="8" s="1"/>
  <c r="B110" i="8" s="1"/>
  <c r="B111" i="8" s="1"/>
  <c r="B112" i="8" s="1"/>
  <c r="B113" i="8" s="1"/>
  <c r="B114" i="8" s="1"/>
  <c r="B115" i="8" s="1"/>
  <c r="B116" i="8" s="1"/>
  <c r="P99" i="8"/>
  <c r="B83" i="8"/>
  <c r="P82" i="8"/>
  <c r="P671" i="8"/>
  <c r="N17" i="38"/>
  <c r="N18" i="38"/>
  <c r="N20" i="38"/>
  <c r="N19" i="38"/>
  <c r="L21" i="38"/>
  <c r="N21" i="38" s="1"/>
  <c r="P201" i="8" l="1"/>
  <c r="B202" i="8"/>
  <c r="B276" i="8"/>
  <c r="B277" i="8" s="1"/>
  <c r="B278" i="8" s="1"/>
  <c r="B279" i="8" s="1"/>
  <c r="B280" i="8" s="1"/>
  <c r="B281" i="8" s="1"/>
  <c r="P275" i="8"/>
  <c r="P626" i="8"/>
  <c r="B390" i="8"/>
  <c r="P389" i="8"/>
  <c r="B412" i="8"/>
  <c r="B413" i="8" s="1"/>
  <c r="B414" i="8" s="1"/>
  <c r="B415" i="8" s="1"/>
  <c r="P411" i="8"/>
  <c r="B117" i="8"/>
  <c r="P116" i="8"/>
  <c r="B84" i="8"/>
  <c r="P83" i="8"/>
  <c r="P672" i="8"/>
  <c r="P682" i="8"/>
  <c r="N23" i="38"/>
  <c r="CM1" i="38" s="1"/>
  <c r="L23" i="38"/>
  <c r="B282" i="8" l="1"/>
  <c r="B283" i="8" s="1"/>
  <c r="B203" i="8"/>
  <c r="P202" i="8"/>
  <c r="B416" i="8"/>
  <c r="B417" i="8" s="1"/>
  <c r="B418" i="8" s="1"/>
  <c r="B419" i="8" s="1"/>
  <c r="B420" i="8" s="1"/>
  <c r="B421" i="8" s="1"/>
  <c r="B422" i="8" s="1"/>
  <c r="P415" i="8"/>
  <c r="B391" i="8"/>
  <c r="P390" i="8"/>
  <c r="P627" i="8"/>
  <c r="B118" i="8"/>
  <c r="B119" i="8" s="1"/>
  <c r="B120" i="8" s="1"/>
  <c r="B121" i="8" s="1"/>
  <c r="B122" i="8" s="1"/>
  <c r="B123" i="8" s="1"/>
  <c r="B124" i="8" s="1"/>
  <c r="B125" i="8" s="1"/>
  <c r="B126" i="8" s="1"/>
  <c r="B127" i="8" s="1"/>
  <c r="B128" i="8" s="1"/>
  <c r="B129" i="8" s="1"/>
  <c r="P117" i="8"/>
  <c r="B85" i="8"/>
  <c r="P84" i="8"/>
  <c r="P684" i="8"/>
  <c r="A26" i="38"/>
  <c r="P469" i="8"/>
  <c r="H26" i="38"/>
  <c r="H27" i="38"/>
  <c r="CL1" i="38"/>
  <c r="A27" i="38"/>
  <c r="B284" i="8" l="1"/>
  <c r="B285" i="8" s="1"/>
  <c r="B286" i="8" s="1"/>
  <c r="B287" i="8" s="1"/>
  <c r="B288" i="8" s="1"/>
  <c r="B289" i="8" s="1"/>
  <c r="B290" i="8" s="1"/>
  <c r="B291" i="8" s="1"/>
  <c r="B292" i="8" s="1"/>
  <c r="P283" i="8"/>
  <c r="P203" i="8"/>
  <c r="B204" i="8"/>
  <c r="P292" i="8"/>
  <c r="B293" i="8"/>
  <c r="B294" i="8" s="1"/>
  <c r="B392" i="8"/>
  <c r="B393" i="8" s="1"/>
  <c r="B394" i="8" s="1"/>
  <c r="P391" i="8"/>
  <c r="B423" i="8"/>
  <c r="B424" i="8" s="1"/>
  <c r="B425" i="8" s="1"/>
  <c r="B426" i="8" s="1"/>
  <c r="B427" i="8" s="1"/>
  <c r="B428" i="8" s="1"/>
  <c r="P422" i="8"/>
  <c r="P646" i="8"/>
  <c r="B130" i="8"/>
  <c r="P130" i="8" s="1"/>
  <c r="P129" i="8"/>
  <c r="B86" i="8"/>
  <c r="P85" i="8"/>
  <c r="P685" i="8"/>
  <c r="A28" i="38"/>
  <c r="P403" i="8"/>
  <c r="A29" i="38"/>
  <c r="E26" i="38" s="1"/>
  <c r="T291" i="8"/>
  <c r="S291" i="8"/>
  <c r="R291" i="8"/>
  <c r="Q291" i="8"/>
  <c r="P294" i="8" l="1"/>
  <c r="B295" i="8"/>
  <c r="B296" i="8" s="1"/>
  <c r="B297" i="8" s="1"/>
  <c r="B205" i="8"/>
  <c r="P204" i="8"/>
  <c r="P293" i="8"/>
  <c r="B429" i="8"/>
  <c r="P428" i="8"/>
  <c r="B395" i="8"/>
  <c r="B396" i="8" s="1"/>
  <c r="P394" i="8"/>
  <c r="P648" i="8"/>
  <c r="B87" i="8"/>
  <c r="P86" i="8"/>
  <c r="P686" i="8"/>
  <c r="P687" i="8"/>
  <c r="Q24" i="8"/>
  <c r="R24" i="8"/>
  <c r="S24" i="8"/>
  <c r="T24" i="8"/>
  <c r="P41" i="8"/>
  <c r="Q41" i="8"/>
  <c r="R41" i="8"/>
  <c r="S41" i="8"/>
  <c r="T41" i="8"/>
  <c r="P43" i="8"/>
  <c r="Q43" i="8"/>
  <c r="R43" i="8"/>
  <c r="S43" i="8"/>
  <c r="T43" i="8"/>
  <c r="P46" i="8"/>
  <c r="Q46" i="8"/>
  <c r="R46" i="8"/>
  <c r="S46" i="8"/>
  <c r="T46" i="8"/>
  <c r="P66" i="8"/>
  <c r="Q66" i="8"/>
  <c r="R66" i="8"/>
  <c r="S66" i="8"/>
  <c r="T66" i="8"/>
  <c r="P68" i="8"/>
  <c r="Q68" i="8"/>
  <c r="R68" i="8"/>
  <c r="S68" i="8"/>
  <c r="T68" i="8"/>
  <c r="P63" i="8"/>
  <c r="Q63" i="8"/>
  <c r="R63" i="8"/>
  <c r="S63" i="8"/>
  <c r="T63" i="8"/>
  <c r="P62" i="8"/>
  <c r="Q62" i="8"/>
  <c r="R62" i="8"/>
  <c r="S62" i="8"/>
  <c r="T62" i="8"/>
  <c r="P190" i="8"/>
  <c r="Q190" i="8"/>
  <c r="R190" i="8"/>
  <c r="S190" i="8"/>
  <c r="T190" i="8"/>
  <c r="Q215" i="8"/>
  <c r="R215" i="8"/>
  <c r="S215" i="8"/>
  <c r="T215" i="8"/>
  <c r="Q285" i="8"/>
  <c r="R285" i="8"/>
  <c r="S285" i="8"/>
  <c r="T285" i="8"/>
  <c r="P246" i="8"/>
  <c r="Q246" i="8"/>
  <c r="R246" i="8"/>
  <c r="S246" i="8"/>
  <c r="T246" i="8"/>
  <c r="P371" i="8"/>
  <c r="Q371" i="8"/>
  <c r="R371" i="8"/>
  <c r="S371" i="8"/>
  <c r="T371" i="8"/>
  <c r="Q457" i="8"/>
  <c r="R457" i="8"/>
  <c r="S457" i="8"/>
  <c r="T457" i="8"/>
  <c r="Q456" i="8"/>
  <c r="R456" i="8"/>
  <c r="S456" i="8"/>
  <c r="T456" i="8"/>
  <c r="P401" i="8"/>
  <c r="Q401" i="8"/>
  <c r="R401" i="8"/>
  <c r="S401" i="8"/>
  <c r="T401" i="8"/>
  <c r="P463" i="8"/>
  <c r="Q463" i="8"/>
  <c r="R463" i="8"/>
  <c r="S463" i="8"/>
  <c r="T463" i="8"/>
  <c r="P465" i="8"/>
  <c r="Q465" i="8"/>
  <c r="R465" i="8"/>
  <c r="S465" i="8"/>
  <c r="T465" i="8"/>
  <c r="P468" i="8"/>
  <c r="Q468" i="8"/>
  <c r="R468" i="8"/>
  <c r="S468" i="8"/>
  <c r="T468" i="8"/>
  <c r="P478" i="8"/>
  <c r="Q478" i="8"/>
  <c r="R478" i="8"/>
  <c r="S478" i="8"/>
  <c r="T478" i="8"/>
  <c r="P476" i="8"/>
  <c r="Q476" i="8"/>
  <c r="R476" i="8"/>
  <c r="S476" i="8"/>
  <c r="T476" i="8"/>
  <c r="P376" i="8"/>
  <c r="Q376" i="8"/>
  <c r="R376" i="8"/>
  <c r="S376" i="8"/>
  <c r="T376" i="8"/>
  <c r="Q518" i="8"/>
  <c r="R518" i="8"/>
  <c r="S518" i="8"/>
  <c r="T518" i="8"/>
  <c r="Q537" i="8"/>
  <c r="R537" i="8"/>
  <c r="S537" i="8"/>
  <c r="T537" i="8"/>
  <c r="Q586" i="8"/>
  <c r="R586" i="8"/>
  <c r="S586" i="8"/>
  <c r="T586" i="8"/>
  <c r="Q603" i="8"/>
  <c r="R603" i="8"/>
  <c r="S603" i="8"/>
  <c r="T603" i="8"/>
  <c r="Q519" i="8"/>
  <c r="R519" i="8"/>
  <c r="S519" i="8"/>
  <c r="T519" i="8"/>
  <c r="Q542" i="8"/>
  <c r="R542" i="8"/>
  <c r="S542" i="8"/>
  <c r="T542" i="8"/>
  <c r="P635" i="8"/>
  <c r="Q635" i="8"/>
  <c r="R635" i="8"/>
  <c r="S635" i="8"/>
  <c r="T635" i="8"/>
  <c r="P630" i="8"/>
  <c r="Q630" i="8"/>
  <c r="R630" i="8"/>
  <c r="S630" i="8"/>
  <c r="T630" i="8"/>
  <c r="P691" i="8"/>
  <c r="Q691" i="8"/>
  <c r="R691" i="8"/>
  <c r="S691" i="8"/>
  <c r="T691" i="8"/>
  <c r="P711" i="8"/>
  <c r="Q711" i="8"/>
  <c r="R711" i="8"/>
  <c r="S711" i="8"/>
  <c r="T711" i="8"/>
  <c r="P205" i="8" l="1"/>
  <c r="B206" i="8"/>
  <c r="P295" i="8"/>
  <c r="B430" i="8"/>
  <c r="B431" i="8" s="1"/>
  <c r="P429" i="8"/>
  <c r="P650" i="8"/>
  <c r="B88" i="8"/>
  <c r="P87" i="8"/>
  <c r="Q665" i="8"/>
  <c r="R665" i="8"/>
  <c r="S665" i="8"/>
  <c r="T665" i="8"/>
  <c r="Q660" i="8"/>
  <c r="R660" i="8"/>
  <c r="S660" i="8"/>
  <c r="T660" i="8"/>
  <c r="Q679" i="8"/>
  <c r="R679" i="8"/>
  <c r="S679" i="8"/>
  <c r="T679" i="8"/>
  <c r="Q678" i="8"/>
  <c r="R678" i="8"/>
  <c r="S678" i="8"/>
  <c r="T678" i="8"/>
  <c r="Q696" i="8"/>
  <c r="R696" i="8"/>
  <c r="S696" i="8"/>
  <c r="T696" i="8"/>
  <c r="Q702" i="8"/>
  <c r="R702" i="8"/>
  <c r="S702" i="8"/>
  <c r="T702" i="8"/>
  <c r="Q690" i="8"/>
  <c r="R690" i="8"/>
  <c r="S690" i="8"/>
  <c r="T690" i="8"/>
  <c r="Q693" i="8"/>
  <c r="R693" i="8"/>
  <c r="S693" i="8"/>
  <c r="T693" i="8"/>
  <c r="Q692" i="8"/>
  <c r="R692" i="8"/>
  <c r="S692" i="8"/>
  <c r="T692" i="8"/>
  <c r="Q700" i="8"/>
  <c r="R700" i="8"/>
  <c r="S700" i="8"/>
  <c r="T700" i="8"/>
  <c r="Q703" i="8"/>
  <c r="R703" i="8"/>
  <c r="S703" i="8"/>
  <c r="T703" i="8"/>
  <c r="Q712" i="8"/>
  <c r="R712" i="8"/>
  <c r="S712" i="8"/>
  <c r="T712" i="8"/>
  <c r="Q697" i="8"/>
  <c r="R697" i="8"/>
  <c r="S697" i="8"/>
  <c r="T697" i="8"/>
  <c r="Q38" i="8"/>
  <c r="R38" i="8"/>
  <c r="S38" i="8"/>
  <c r="T38" i="8"/>
  <c r="Q42" i="8"/>
  <c r="R42" i="8"/>
  <c r="S42" i="8"/>
  <c r="T42" i="8"/>
  <c r="Q73" i="8"/>
  <c r="R73" i="8"/>
  <c r="S73" i="8"/>
  <c r="T73" i="8"/>
  <c r="Q98" i="8"/>
  <c r="R98" i="8"/>
  <c r="S98" i="8"/>
  <c r="T98" i="8"/>
  <c r="Q127" i="8"/>
  <c r="R127" i="8"/>
  <c r="S127" i="8"/>
  <c r="T127" i="8"/>
  <c r="Q113" i="8"/>
  <c r="R113" i="8"/>
  <c r="S113" i="8"/>
  <c r="T113" i="8"/>
  <c r="Q105" i="8"/>
  <c r="R105" i="8"/>
  <c r="S105" i="8"/>
  <c r="T105" i="8"/>
  <c r="Q91" i="8"/>
  <c r="R91" i="8"/>
  <c r="S91" i="8"/>
  <c r="T91" i="8"/>
  <c r="Q119" i="8"/>
  <c r="R119" i="8"/>
  <c r="S119" i="8"/>
  <c r="T119" i="8"/>
  <c r="Q114" i="8"/>
  <c r="R114" i="8"/>
  <c r="S114" i="8"/>
  <c r="T114" i="8"/>
  <c r="Q123" i="8"/>
  <c r="R123" i="8"/>
  <c r="S123" i="8"/>
  <c r="T123" i="8"/>
  <c r="Q122" i="8"/>
  <c r="R122" i="8"/>
  <c r="S122" i="8"/>
  <c r="T122" i="8"/>
  <c r="Q118" i="8"/>
  <c r="R118" i="8"/>
  <c r="S118" i="8"/>
  <c r="T118" i="8"/>
  <c r="Q110" i="8"/>
  <c r="R110" i="8"/>
  <c r="S110" i="8"/>
  <c r="T110" i="8"/>
  <c r="Q347" i="8"/>
  <c r="R347" i="8"/>
  <c r="S347" i="8"/>
  <c r="T347" i="8"/>
  <c r="Q340" i="8"/>
  <c r="R340" i="8"/>
  <c r="S340" i="8"/>
  <c r="T340" i="8"/>
  <c r="Q137" i="8"/>
  <c r="R137" i="8"/>
  <c r="S137" i="8"/>
  <c r="T137" i="8"/>
  <c r="Q176" i="8"/>
  <c r="R176" i="8"/>
  <c r="S176" i="8"/>
  <c r="T176" i="8"/>
  <c r="Q187" i="8"/>
  <c r="R187" i="8"/>
  <c r="S187" i="8"/>
  <c r="T187" i="8"/>
  <c r="Q213" i="8"/>
  <c r="R213" i="8"/>
  <c r="S213" i="8"/>
  <c r="T213" i="8"/>
  <c r="Q197" i="8"/>
  <c r="R197" i="8"/>
  <c r="S197" i="8"/>
  <c r="T197" i="8"/>
  <c r="Q164" i="8"/>
  <c r="R164" i="8"/>
  <c r="S164" i="8"/>
  <c r="T164" i="8"/>
  <c r="Q224" i="8"/>
  <c r="R224" i="8"/>
  <c r="S224" i="8"/>
  <c r="T224" i="8"/>
  <c r="Q166" i="8"/>
  <c r="R166" i="8"/>
  <c r="S166" i="8"/>
  <c r="T166" i="8"/>
  <c r="Q174" i="8"/>
  <c r="R174" i="8"/>
  <c r="S174" i="8"/>
  <c r="T174" i="8"/>
  <c r="Q220" i="8"/>
  <c r="R220" i="8"/>
  <c r="S220" i="8"/>
  <c r="T220" i="8"/>
  <c r="Q181" i="8"/>
  <c r="R181" i="8"/>
  <c r="S181" i="8"/>
  <c r="T181" i="8"/>
  <c r="Q186" i="8"/>
  <c r="R186" i="8"/>
  <c r="S186" i="8"/>
  <c r="T186" i="8"/>
  <c r="Q201" i="8"/>
  <c r="R201" i="8"/>
  <c r="S201" i="8"/>
  <c r="T201" i="8"/>
  <c r="Q214" i="8"/>
  <c r="R214" i="8"/>
  <c r="S214" i="8"/>
  <c r="T214" i="8"/>
  <c r="Q178" i="8"/>
  <c r="R178" i="8"/>
  <c r="S178" i="8"/>
  <c r="T178" i="8"/>
  <c r="Q203" i="8"/>
  <c r="R203" i="8"/>
  <c r="S203" i="8"/>
  <c r="T203" i="8"/>
  <c r="Q192" i="8"/>
  <c r="R192" i="8"/>
  <c r="S192" i="8"/>
  <c r="T192" i="8"/>
  <c r="Q188" i="8"/>
  <c r="R188" i="8"/>
  <c r="S188" i="8"/>
  <c r="T188" i="8"/>
  <c r="Q189" i="8"/>
  <c r="R189" i="8"/>
  <c r="S189" i="8"/>
  <c r="T189" i="8"/>
  <c r="Q194" i="8"/>
  <c r="R194" i="8"/>
  <c r="S194" i="8"/>
  <c r="T194" i="8"/>
  <c r="Q193" i="8"/>
  <c r="R193" i="8"/>
  <c r="S193" i="8"/>
  <c r="T193" i="8"/>
  <c r="Q207" i="8"/>
  <c r="R207" i="8"/>
  <c r="S207" i="8"/>
  <c r="T207" i="8"/>
  <c r="Q209" i="8"/>
  <c r="R209" i="8"/>
  <c r="S209" i="8"/>
  <c r="T209" i="8"/>
  <c r="Q170" i="8"/>
  <c r="R170" i="8"/>
  <c r="S170" i="8"/>
  <c r="T170" i="8"/>
  <c r="Q182" i="8"/>
  <c r="R182" i="8"/>
  <c r="S182" i="8"/>
  <c r="T182" i="8"/>
  <c r="Q211" i="8"/>
  <c r="R211" i="8"/>
  <c r="S211" i="8"/>
  <c r="T211" i="8"/>
  <c r="Q196" i="8"/>
  <c r="R196" i="8"/>
  <c r="S196" i="8"/>
  <c r="T196" i="8"/>
  <c r="Q184" i="8"/>
  <c r="R184" i="8"/>
  <c r="S184" i="8"/>
  <c r="T184" i="8"/>
  <c r="Q317" i="8"/>
  <c r="R317" i="8"/>
  <c r="S317" i="8"/>
  <c r="T317" i="8"/>
  <c r="Q287" i="8"/>
  <c r="R287" i="8"/>
  <c r="S287" i="8"/>
  <c r="T287" i="8"/>
  <c r="Q326" i="8"/>
  <c r="R326" i="8"/>
  <c r="S326" i="8"/>
  <c r="T326" i="8"/>
  <c r="Q311" i="8"/>
  <c r="R311" i="8"/>
  <c r="S311" i="8"/>
  <c r="T311" i="8"/>
  <c r="Q261" i="8"/>
  <c r="R261" i="8"/>
  <c r="S261" i="8"/>
  <c r="T261" i="8"/>
  <c r="Q332" i="8"/>
  <c r="R332" i="8"/>
  <c r="S332" i="8"/>
  <c r="T332" i="8"/>
  <c r="Q267" i="8"/>
  <c r="R267" i="8"/>
  <c r="S267" i="8"/>
  <c r="T267" i="8"/>
  <c r="Q257" i="8"/>
  <c r="R257" i="8"/>
  <c r="S257" i="8"/>
  <c r="T257" i="8"/>
  <c r="Q315" i="8"/>
  <c r="R315" i="8"/>
  <c r="S315" i="8"/>
  <c r="T315" i="8"/>
  <c r="Q306" i="8"/>
  <c r="R306" i="8"/>
  <c r="S306" i="8"/>
  <c r="T306" i="8"/>
  <c r="Q268" i="8"/>
  <c r="R268" i="8"/>
  <c r="S268" i="8"/>
  <c r="T268" i="8"/>
  <c r="Q228" i="8"/>
  <c r="R228" i="8"/>
  <c r="S228" i="8"/>
  <c r="T228" i="8"/>
  <c r="Q229" i="8"/>
  <c r="R229" i="8"/>
  <c r="S229" i="8"/>
  <c r="T229" i="8"/>
  <c r="Q322" i="8"/>
  <c r="R322" i="8"/>
  <c r="S322" i="8"/>
  <c r="T322" i="8"/>
  <c r="Q331" i="8"/>
  <c r="R331" i="8"/>
  <c r="S331" i="8"/>
  <c r="T331" i="8"/>
  <c r="Q304" i="8"/>
  <c r="R304" i="8"/>
  <c r="S304" i="8"/>
  <c r="T304" i="8"/>
  <c r="Q253" i="8"/>
  <c r="R253" i="8"/>
  <c r="S253" i="8"/>
  <c r="T253" i="8"/>
  <c r="Q256" i="8"/>
  <c r="R256" i="8"/>
  <c r="S256" i="8"/>
  <c r="T256" i="8"/>
  <c r="Q264" i="8"/>
  <c r="R264" i="8"/>
  <c r="S264" i="8"/>
  <c r="T264" i="8"/>
  <c r="Q314" i="8"/>
  <c r="R314" i="8"/>
  <c r="S314" i="8"/>
  <c r="T314" i="8"/>
  <c r="Q290" i="8"/>
  <c r="R290" i="8"/>
  <c r="S290" i="8"/>
  <c r="T290" i="8"/>
  <c r="Q277" i="8"/>
  <c r="R277" i="8"/>
  <c r="S277" i="8"/>
  <c r="T277" i="8"/>
  <c r="Q242" i="8"/>
  <c r="R242" i="8"/>
  <c r="S242" i="8"/>
  <c r="T242" i="8"/>
  <c r="Q323" i="8"/>
  <c r="R323" i="8"/>
  <c r="S323" i="8"/>
  <c r="T323" i="8"/>
  <c r="Q279" i="8"/>
  <c r="R279" i="8"/>
  <c r="S279" i="8"/>
  <c r="T279" i="8"/>
  <c r="Q280" i="8"/>
  <c r="R280" i="8"/>
  <c r="S280" i="8"/>
  <c r="T280" i="8"/>
  <c r="Q226" i="8"/>
  <c r="R226" i="8"/>
  <c r="S226" i="8"/>
  <c r="T226" i="8"/>
  <c r="Q278" i="8"/>
  <c r="R278" i="8"/>
  <c r="S278" i="8"/>
  <c r="T278" i="8"/>
  <c r="Q247" i="8"/>
  <c r="R247" i="8"/>
  <c r="S247" i="8"/>
  <c r="T247" i="8"/>
  <c r="Q316" i="8"/>
  <c r="R316" i="8"/>
  <c r="S316" i="8"/>
  <c r="T316" i="8"/>
  <c r="Q273" i="8"/>
  <c r="R273" i="8"/>
  <c r="S273" i="8"/>
  <c r="T273" i="8"/>
  <c r="Q240" i="8"/>
  <c r="R240" i="8"/>
  <c r="S240" i="8"/>
  <c r="T240" i="8"/>
  <c r="Q266" i="8"/>
  <c r="R266" i="8"/>
  <c r="S266" i="8"/>
  <c r="T266" i="8"/>
  <c r="Q282" i="8"/>
  <c r="R282" i="8"/>
  <c r="S282" i="8"/>
  <c r="T282" i="8"/>
  <c r="Q269" i="8"/>
  <c r="R269" i="8"/>
  <c r="S269" i="8"/>
  <c r="T269" i="8"/>
  <c r="Q310" i="8"/>
  <c r="R310" i="8"/>
  <c r="S310" i="8"/>
  <c r="T310" i="8"/>
  <c r="Q233" i="8"/>
  <c r="R233" i="8"/>
  <c r="S233" i="8"/>
  <c r="T233" i="8"/>
  <c r="Q309" i="8"/>
  <c r="R309" i="8"/>
  <c r="S309" i="8"/>
  <c r="T309" i="8"/>
  <c r="Q297" i="8"/>
  <c r="R297" i="8"/>
  <c r="S297" i="8"/>
  <c r="T297" i="8"/>
  <c r="Q298" i="8"/>
  <c r="R298" i="8"/>
  <c r="S298" i="8"/>
  <c r="T298" i="8"/>
  <c r="Q295" i="8"/>
  <c r="R295" i="8"/>
  <c r="S295" i="8"/>
  <c r="T295" i="8"/>
  <c r="Q312" i="8"/>
  <c r="R312" i="8"/>
  <c r="S312" i="8"/>
  <c r="T312" i="8"/>
  <c r="Q238" i="8"/>
  <c r="R238" i="8"/>
  <c r="S238" i="8"/>
  <c r="T238" i="8"/>
  <c r="Q300" i="8"/>
  <c r="R300" i="8"/>
  <c r="S300" i="8"/>
  <c r="T300" i="8"/>
  <c r="Q252" i="8"/>
  <c r="R252" i="8"/>
  <c r="S252" i="8"/>
  <c r="T252" i="8"/>
  <c r="Q328" i="8"/>
  <c r="R328" i="8"/>
  <c r="S328" i="8"/>
  <c r="T328" i="8"/>
  <c r="Q320" i="8"/>
  <c r="R320" i="8"/>
  <c r="S320" i="8"/>
  <c r="T320" i="8"/>
  <c r="Q361" i="8"/>
  <c r="R361" i="8"/>
  <c r="S361" i="8"/>
  <c r="T361" i="8"/>
  <c r="Q355" i="8"/>
  <c r="R355" i="8"/>
  <c r="S355" i="8"/>
  <c r="T355" i="8"/>
  <c r="Q358" i="8"/>
  <c r="R358" i="8"/>
  <c r="S358" i="8"/>
  <c r="T358" i="8"/>
  <c r="Q359" i="8"/>
  <c r="R359" i="8"/>
  <c r="S359" i="8"/>
  <c r="T359" i="8"/>
  <c r="Q362" i="8"/>
  <c r="R362" i="8"/>
  <c r="S362" i="8"/>
  <c r="T362" i="8"/>
  <c r="Q356" i="8"/>
  <c r="R356" i="8"/>
  <c r="S356" i="8"/>
  <c r="T356" i="8"/>
  <c r="Q372" i="8"/>
  <c r="R372" i="8"/>
  <c r="S372" i="8"/>
  <c r="T372" i="8"/>
  <c r="Q281" i="8"/>
  <c r="R281" i="8"/>
  <c r="S281" i="8"/>
  <c r="T281" i="8"/>
  <c r="Q375" i="8"/>
  <c r="R375" i="8"/>
  <c r="S375" i="8"/>
  <c r="T375" i="8"/>
  <c r="Q475" i="8"/>
  <c r="R475" i="8"/>
  <c r="S475" i="8"/>
  <c r="T475" i="8"/>
  <c r="Q365" i="8"/>
  <c r="R365" i="8"/>
  <c r="S365" i="8"/>
  <c r="T365" i="8"/>
  <c r="Q445" i="8"/>
  <c r="R445" i="8"/>
  <c r="S445" i="8"/>
  <c r="T445" i="8"/>
  <c r="Q435" i="8"/>
  <c r="R435" i="8"/>
  <c r="S435" i="8"/>
  <c r="T435" i="8"/>
  <c r="Q436" i="8"/>
  <c r="R436" i="8"/>
  <c r="S436" i="8"/>
  <c r="T436" i="8"/>
  <c r="Q461" i="8"/>
  <c r="R461" i="8"/>
  <c r="S461" i="8"/>
  <c r="T461" i="8"/>
  <c r="Q444" i="8"/>
  <c r="R444" i="8"/>
  <c r="S444" i="8"/>
  <c r="T444" i="8"/>
  <c r="Q416" i="8"/>
  <c r="R416" i="8"/>
  <c r="S416" i="8"/>
  <c r="T416" i="8"/>
  <c r="Q414" i="8"/>
  <c r="R414" i="8"/>
  <c r="S414" i="8"/>
  <c r="T414" i="8"/>
  <c r="Q399" i="8"/>
  <c r="R399" i="8"/>
  <c r="S399" i="8"/>
  <c r="T399" i="8"/>
  <c r="Q447" i="8"/>
  <c r="R447" i="8"/>
  <c r="S447" i="8"/>
  <c r="T447" i="8"/>
  <c r="Q427" i="8"/>
  <c r="R427" i="8"/>
  <c r="S427" i="8"/>
  <c r="T427" i="8"/>
  <c r="Q412" i="8"/>
  <c r="R412" i="8"/>
  <c r="S412" i="8"/>
  <c r="T412" i="8"/>
  <c r="Q458" i="8"/>
  <c r="R458" i="8"/>
  <c r="S458" i="8"/>
  <c r="T458" i="8"/>
  <c r="Q426" i="8"/>
  <c r="R426" i="8"/>
  <c r="S426" i="8"/>
  <c r="T426" i="8"/>
  <c r="Q451" i="8"/>
  <c r="R451" i="8"/>
  <c r="S451" i="8"/>
  <c r="T451" i="8"/>
  <c r="Q442" i="8"/>
  <c r="R442" i="8"/>
  <c r="S442" i="8"/>
  <c r="T442" i="8"/>
  <c r="Q454" i="8"/>
  <c r="R454" i="8"/>
  <c r="S454" i="8"/>
  <c r="T454" i="8"/>
  <c r="Q443" i="8"/>
  <c r="R443" i="8"/>
  <c r="S443" i="8"/>
  <c r="T443" i="8"/>
  <c r="Q434" i="8"/>
  <c r="R434" i="8"/>
  <c r="S434" i="8"/>
  <c r="T434" i="8"/>
  <c r="Q453" i="8"/>
  <c r="R453" i="8"/>
  <c r="S453" i="8"/>
  <c r="T453" i="8"/>
  <c r="Q450" i="8"/>
  <c r="R450" i="8"/>
  <c r="S450" i="8"/>
  <c r="T450" i="8"/>
  <c r="Q449" i="8"/>
  <c r="R449" i="8"/>
  <c r="S449" i="8"/>
  <c r="T449" i="8"/>
  <c r="Q402" i="8"/>
  <c r="R402" i="8"/>
  <c r="S402" i="8"/>
  <c r="T402" i="8"/>
  <c r="Q554" i="8"/>
  <c r="R554" i="8"/>
  <c r="S554" i="8"/>
  <c r="T554" i="8"/>
  <c r="Q500" i="8"/>
  <c r="R500" i="8"/>
  <c r="S500" i="8"/>
  <c r="T500" i="8"/>
  <c r="Q185" i="8"/>
  <c r="R185" i="8"/>
  <c r="S185" i="8"/>
  <c r="T185" i="8"/>
  <c r="Q496" i="8"/>
  <c r="R496" i="8"/>
  <c r="S496" i="8"/>
  <c r="T496" i="8"/>
  <c r="Q522" i="8"/>
  <c r="R522" i="8"/>
  <c r="S522" i="8"/>
  <c r="T522" i="8"/>
  <c r="Q572" i="8"/>
  <c r="R572" i="8"/>
  <c r="S572" i="8"/>
  <c r="T572" i="8"/>
  <c r="Q508" i="8"/>
  <c r="R508" i="8"/>
  <c r="S508" i="8"/>
  <c r="T508" i="8"/>
  <c r="Q540" i="8"/>
  <c r="R540" i="8"/>
  <c r="S540" i="8"/>
  <c r="T540" i="8"/>
  <c r="Q494" i="8"/>
  <c r="R494" i="8"/>
  <c r="S494" i="8"/>
  <c r="T494" i="8"/>
  <c r="Q528" i="8"/>
  <c r="R528" i="8"/>
  <c r="S528" i="8"/>
  <c r="T528" i="8"/>
  <c r="Q579" i="8"/>
  <c r="R579" i="8"/>
  <c r="S579" i="8"/>
  <c r="T579" i="8"/>
  <c r="Q573" i="8"/>
  <c r="R573" i="8"/>
  <c r="S573" i="8"/>
  <c r="T573" i="8"/>
  <c r="Q536" i="8"/>
  <c r="R536" i="8"/>
  <c r="S536" i="8"/>
  <c r="T536" i="8"/>
  <c r="Q527" i="8"/>
  <c r="R527" i="8"/>
  <c r="S527" i="8"/>
  <c r="T527" i="8"/>
  <c r="Q503" i="8"/>
  <c r="R503" i="8"/>
  <c r="S503" i="8"/>
  <c r="T503" i="8"/>
  <c r="Q594" i="8"/>
  <c r="R594" i="8"/>
  <c r="S594" i="8"/>
  <c r="T594" i="8"/>
  <c r="Q498" i="8"/>
  <c r="R498" i="8"/>
  <c r="S498" i="8"/>
  <c r="T498" i="8"/>
  <c r="Q509" i="8"/>
  <c r="R509" i="8"/>
  <c r="S509" i="8"/>
  <c r="T509" i="8"/>
  <c r="Q578" i="8"/>
  <c r="R578" i="8"/>
  <c r="S578" i="8"/>
  <c r="T578" i="8"/>
  <c r="Q559" i="8"/>
  <c r="R559" i="8"/>
  <c r="S559" i="8"/>
  <c r="T559" i="8"/>
  <c r="Q499" i="8"/>
  <c r="R499" i="8"/>
  <c r="S499" i="8"/>
  <c r="T499" i="8"/>
  <c r="Q632" i="8"/>
  <c r="R632" i="8"/>
  <c r="S632" i="8"/>
  <c r="T632" i="8"/>
  <c r="Q640" i="8"/>
  <c r="R640" i="8"/>
  <c r="S640" i="8"/>
  <c r="T640" i="8"/>
  <c r="Q649" i="8"/>
  <c r="R649" i="8"/>
  <c r="S649" i="8"/>
  <c r="T649" i="8"/>
  <c r="Q637" i="8"/>
  <c r="R637" i="8"/>
  <c r="S637" i="8"/>
  <c r="T637" i="8"/>
  <c r="Q641" i="8"/>
  <c r="R641" i="8"/>
  <c r="S641" i="8"/>
  <c r="T641" i="8"/>
  <c r="Q633" i="8"/>
  <c r="R633" i="8"/>
  <c r="S633" i="8"/>
  <c r="T633" i="8"/>
  <c r="Q624" i="8"/>
  <c r="R624" i="8"/>
  <c r="S624" i="8"/>
  <c r="T624" i="8"/>
  <c r="Q628" i="8"/>
  <c r="R628" i="8"/>
  <c r="S628" i="8"/>
  <c r="T628" i="8"/>
  <c r="P206" i="8" l="1"/>
  <c r="B207" i="8"/>
  <c r="P296" i="8"/>
  <c r="P651" i="8"/>
  <c r="B432" i="8"/>
  <c r="P431" i="8"/>
  <c r="B89" i="8"/>
  <c r="P88" i="8"/>
  <c r="P475" i="8"/>
  <c r="P372" i="8"/>
  <c r="P365" i="8"/>
  <c r="P73" i="8"/>
  <c r="P38" i="8"/>
  <c r="Q564" i="8"/>
  <c r="R564" i="8"/>
  <c r="S564" i="8"/>
  <c r="T564" i="8"/>
  <c r="B208" i="8" l="1"/>
  <c r="P207" i="8"/>
  <c r="B298" i="8"/>
  <c r="P297" i="8"/>
  <c r="B433" i="8"/>
  <c r="P432" i="8"/>
  <c r="P652" i="8"/>
  <c r="B90" i="8"/>
  <c r="P90" i="8" s="1"/>
  <c r="P89" i="8"/>
  <c r="P42" i="8"/>
  <c r="Q681" i="8"/>
  <c r="R681" i="8"/>
  <c r="S681" i="8"/>
  <c r="T681" i="8"/>
  <c r="Q677" i="8"/>
  <c r="R677" i="8"/>
  <c r="S677" i="8"/>
  <c r="T677" i="8"/>
  <c r="Q664" i="8"/>
  <c r="R664" i="8"/>
  <c r="S664" i="8"/>
  <c r="T664" i="8"/>
  <c r="Q673" i="8"/>
  <c r="R673" i="8"/>
  <c r="S673" i="8"/>
  <c r="T673" i="8"/>
  <c r="Q40" i="8"/>
  <c r="R40" i="8"/>
  <c r="S40" i="8"/>
  <c r="T40" i="8"/>
  <c r="Q58" i="8"/>
  <c r="R58" i="8"/>
  <c r="S58" i="8"/>
  <c r="T58" i="8"/>
  <c r="Q6" i="8"/>
  <c r="R6" i="8"/>
  <c r="S6" i="8"/>
  <c r="T6" i="8"/>
  <c r="Q7" i="8"/>
  <c r="R7" i="8"/>
  <c r="S7" i="8"/>
  <c r="T7" i="8"/>
  <c r="Q8" i="8"/>
  <c r="R8" i="8"/>
  <c r="S8" i="8"/>
  <c r="T8" i="8"/>
  <c r="Q15" i="8"/>
  <c r="R15" i="8"/>
  <c r="S15" i="8"/>
  <c r="T15" i="8"/>
  <c r="Q31" i="8"/>
  <c r="R31" i="8"/>
  <c r="S31" i="8"/>
  <c r="T31" i="8"/>
  <c r="Q3" i="8"/>
  <c r="R3" i="8"/>
  <c r="S3" i="8"/>
  <c r="T3" i="8"/>
  <c r="Q13" i="8"/>
  <c r="R13" i="8"/>
  <c r="S13" i="8"/>
  <c r="T13" i="8"/>
  <c r="Q75" i="8"/>
  <c r="R75" i="8"/>
  <c r="S75" i="8"/>
  <c r="T75" i="8"/>
  <c r="Q86" i="8"/>
  <c r="R86" i="8"/>
  <c r="S86" i="8"/>
  <c r="T86" i="8"/>
  <c r="Q79" i="8"/>
  <c r="R79" i="8"/>
  <c r="S79" i="8"/>
  <c r="T79" i="8"/>
  <c r="Q74" i="8"/>
  <c r="R74" i="8"/>
  <c r="S74" i="8"/>
  <c r="T74" i="8"/>
  <c r="Q135" i="8"/>
  <c r="R135" i="8"/>
  <c r="S135" i="8"/>
  <c r="T135" i="8"/>
  <c r="Q136" i="8"/>
  <c r="R136" i="8"/>
  <c r="S136" i="8"/>
  <c r="T136" i="8"/>
  <c r="Q143" i="8"/>
  <c r="R143" i="8"/>
  <c r="S143" i="8"/>
  <c r="T143" i="8"/>
  <c r="Q133" i="8"/>
  <c r="R133" i="8"/>
  <c r="S133" i="8"/>
  <c r="T133" i="8"/>
  <c r="Q140" i="8"/>
  <c r="R140" i="8"/>
  <c r="S140" i="8"/>
  <c r="T140" i="8"/>
  <c r="Q156" i="8"/>
  <c r="R156" i="8"/>
  <c r="S156" i="8"/>
  <c r="T156" i="8"/>
  <c r="Q507" i="8"/>
  <c r="R507" i="8"/>
  <c r="S507" i="8"/>
  <c r="T507" i="8"/>
  <c r="Q552" i="8"/>
  <c r="R552" i="8"/>
  <c r="S552" i="8"/>
  <c r="T552" i="8"/>
  <c r="Q607" i="8"/>
  <c r="R607" i="8"/>
  <c r="S607" i="8"/>
  <c r="T607" i="8"/>
  <c r="Q636" i="8"/>
  <c r="R636" i="8"/>
  <c r="S636" i="8"/>
  <c r="T636" i="8"/>
  <c r="Q634" i="8"/>
  <c r="R634" i="8"/>
  <c r="S634" i="8"/>
  <c r="T634" i="8"/>
  <c r="Q654" i="8"/>
  <c r="R654" i="8"/>
  <c r="S654" i="8"/>
  <c r="T654" i="8"/>
  <c r="Q657" i="8"/>
  <c r="R657" i="8"/>
  <c r="S657" i="8"/>
  <c r="T657" i="8"/>
  <c r="Q629" i="8"/>
  <c r="R629" i="8"/>
  <c r="S629" i="8"/>
  <c r="T629" i="8"/>
  <c r="Q611" i="8"/>
  <c r="R611" i="8"/>
  <c r="S611" i="8"/>
  <c r="T611" i="8"/>
  <c r="Q610" i="8"/>
  <c r="R610" i="8"/>
  <c r="S610" i="8"/>
  <c r="T610" i="8"/>
  <c r="Q638" i="8"/>
  <c r="R638" i="8"/>
  <c r="S638" i="8"/>
  <c r="T638" i="8"/>
  <c r="Q623" i="8"/>
  <c r="R623" i="8"/>
  <c r="S623" i="8"/>
  <c r="T623" i="8"/>
  <c r="B209" i="8" l="1"/>
  <c r="P208" i="8"/>
  <c r="B299" i="8"/>
  <c r="P298" i="8"/>
  <c r="P655" i="8"/>
  <c r="B434" i="8"/>
  <c r="B435" i="8" s="1"/>
  <c r="B436" i="8" s="1"/>
  <c r="B437" i="8" s="1"/>
  <c r="P433" i="8"/>
  <c r="T513" i="8"/>
  <c r="S513" i="8"/>
  <c r="R513" i="8"/>
  <c r="Q513" i="8"/>
  <c r="P209" i="8" l="1"/>
  <c r="B210" i="8"/>
  <c r="B300" i="8"/>
  <c r="P299" i="8"/>
  <c r="B438" i="8"/>
  <c r="B439" i="8" s="1"/>
  <c r="B440" i="8" s="1"/>
  <c r="B441" i="8" s="1"/>
  <c r="B442" i="8" s="1"/>
  <c r="B443" i="8" s="1"/>
  <c r="B444" i="8" s="1"/>
  <c r="B445" i="8" s="1"/>
  <c r="B446" i="8" s="1"/>
  <c r="P437" i="8"/>
  <c r="P658" i="8"/>
  <c r="P656" i="8"/>
  <c r="P340" i="8"/>
  <c r="P347" i="8"/>
  <c r="D2" i="34"/>
  <c r="CB1" i="34"/>
  <c r="BZ1" i="34"/>
  <c r="BY1" i="34"/>
  <c r="BX1" i="34"/>
  <c r="BU1" i="34"/>
  <c r="AJ34" i="34"/>
  <c r="AJ33" i="34"/>
  <c r="AW21" i="34"/>
  <c r="AV21" i="34"/>
  <c r="AU21" i="34"/>
  <c r="AT21" i="34"/>
  <c r="AS21" i="34"/>
  <c r="AR21" i="34"/>
  <c r="AQ21" i="34"/>
  <c r="AP21" i="34"/>
  <c r="AO21" i="34"/>
  <c r="AN21" i="34"/>
  <c r="AM21" i="34"/>
  <c r="AL21" i="34"/>
  <c r="AK21" i="34"/>
  <c r="AJ21" i="34"/>
  <c r="AI21" i="34"/>
  <c r="AW20" i="34"/>
  <c r="AV20" i="34"/>
  <c r="AU20" i="34"/>
  <c r="AT20" i="34"/>
  <c r="AS20" i="34"/>
  <c r="AR20" i="34"/>
  <c r="AQ20" i="34"/>
  <c r="AP20" i="34"/>
  <c r="AO20" i="34"/>
  <c r="AN20" i="34"/>
  <c r="AM20" i="34"/>
  <c r="AL20" i="34"/>
  <c r="AK20" i="34"/>
  <c r="AJ20" i="34"/>
  <c r="AI20" i="34"/>
  <c r="AW19" i="34"/>
  <c r="AV19" i="34"/>
  <c r="AU19" i="34"/>
  <c r="AT19" i="34"/>
  <c r="AS19" i="34"/>
  <c r="AR19" i="34"/>
  <c r="AQ19" i="34"/>
  <c r="AP19" i="34"/>
  <c r="AO19" i="34"/>
  <c r="AN19" i="34"/>
  <c r="AM19" i="34"/>
  <c r="AL19" i="34"/>
  <c r="AK19" i="34"/>
  <c r="AJ19" i="34"/>
  <c r="AI19" i="34"/>
  <c r="AW18" i="34"/>
  <c r="AV18" i="34"/>
  <c r="AU18" i="34"/>
  <c r="AT18" i="34"/>
  <c r="AS18" i="34"/>
  <c r="AR18" i="34"/>
  <c r="AQ18" i="34"/>
  <c r="AP18" i="34"/>
  <c r="AO18" i="34"/>
  <c r="AN18" i="34"/>
  <c r="AM18" i="34"/>
  <c r="AL18" i="34"/>
  <c r="AK18" i="34"/>
  <c r="AJ18" i="34"/>
  <c r="AI18" i="34"/>
  <c r="AW17" i="34"/>
  <c r="AV17" i="34"/>
  <c r="AU17" i="34"/>
  <c r="AT17" i="34"/>
  <c r="AS17" i="34"/>
  <c r="AR17" i="34"/>
  <c r="AQ17" i="34"/>
  <c r="AP17" i="34"/>
  <c r="AO17" i="34"/>
  <c r="AN17" i="34"/>
  <c r="AM17" i="34"/>
  <c r="AL17" i="34"/>
  <c r="AK17" i="34"/>
  <c r="AJ17" i="34"/>
  <c r="AI17" i="34"/>
  <c r="CG1" i="31"/>
  <c r="CF1" i="31"/>
  <c r="AJ34" i="31"/>
  <c r="AJ33" i="31"/>
  <c r="AW21" i="31"/>
  <c r="AV21" i="31"/>
  <c r="AU21" i="31"/>
  <c r="AT21" i="31"/>
  <c r="AS21" i="31"/>
  <c r="AR21" i="31"/>
  <c r="AQ21" i="31"/>
  <c r="AP21" i="31"/>
  <c r="AO21" i="31"/>
  <c r="AN21" i="31"/>
  <c r="AM21" i="31"/>
  <c r="AL21" i="31"/>
  <c r="AK21" i="31"/>
  <c r="AJ21" i="31"/>
  <c r="AI21" i="31"/>
  <c r="AW20" i="31"/>
  <c r="AV20" i="31"/>
  <c r="AU20" i="31"/>
  <c r="AT20" i="31"/>
  <c r="AS20" i="31"/>
  <c r="AR20" i="31"/>
  <c r="AQ20" i="31"/>
  <c r="AP20" i="31"/>
  <c r="AO20" i="31"/>
  <c r="AN20" i="31"/>
  <c r="AM20" i="31"/>
  <c r="AL20" i="31"/>
  <c r="AK20" i="31"/>
  <c r="AJ20" i="31"/>
  <c r="AI20" i="31"/>
  <c r="AW19" i="31"/>
  <c r="AV19" i="31"/>
  <c r="AU19" i="31"/>
  <c r="AT19" i="31"/>
  <c r="AS19" i="31"/>
  <c r="AR19" i="31"/>
  <c r="AQ19" i="31"/>
  <c r="AP19" i="31"/>
  <c r="AO19" i="31"/>
  <c r="AN19" i="31"/>
  <c r="AM19" i="31"/>
  <c r="AL19" i="31"/>
  <c r="AK19" i="31"/>
  <c r="AJ19" i="31"/>
  <c r="AI19" i="31"/>
  <c r="AW18" i="31"/>
  <c r="AV18" i="31"/>
  <c r="AU18" i="31"/>
  <c r="AT18" i="31"/>
  <c r="AS18" i="31"/>
  <c r="AR18" i="31"/>
  <c r="AQ18" i="31"/>
  <c r="AP18" i="31"/>
  <c r="AO18" i="31"/>
  <c r="AN18" i="31"/>
  <c r="AM18" i="31"/>
  <c r="AL18" i="31"/>
  <c r="AK18" i="31"/>
  <c r="AJ18" i="31"/>
  <c r="AI18" i="31"/>
  <c r="AW17" i="31"/>
  <c r="AV17" i="31"/>
  <c r="AU17" i="31"/>
  <c r="AT17" i="31"/>
  <c r="AS17" i="31"/>
  <c r="AR17" i="31"/>
  <c r="AQ17" i="31"/>
  <c r="AP17" i="31"/>
  <c r="AO17" i="31"/>
  <c r="AN17" i="31"/>
  <c r="AM17" i="31"/>
  <c r="AL17" i="31"/>
  <c r="AK17" i="31"/>
  <c r="AJ17" i="31"/>
  <c r="AI17" i="31"/>
  <c r="CJ1" i="31"/>
  <c r="CH1" i="31"/>
  <c r="CC1" i="31"/>
  <c r="AW31" i="25"/>
  <c r="AV31" i="25"/>
  <c r="AU31" i="25"/>
  <c r="AT31" i="25"/>
  <c r="AS31" i="25"/>
  <c r="AR31" i="25"/>
  <c r="AQ31" i="25"/>
  <c r="AP31" i="25"/>
  <c r="AO31" i="25"/>
  <c r="AN31" i="25"/>
  <c r="AM31" i="25"/>
  <c r="AL31" i="25"/>
  <c r="AK31" i="25"/>
  <c r="AJ31" i="25"/>
  <c r="AI31" i="25"/>
  <c r="AW30" i="25"/>
  <c r="AV30" i="25"/>
  <c r="AU30" i="25"/>
  <c r="AT30" i="25"/>
  <c r="AS30" i="25"/>
  <c r="AR30" i="25"/>
  <c r="AQ30" i="25"/>
  <c r="AP30" i="25"/>
  <c r="AO30" i="25"/>
  <c r="AN30" i="25"/>
  <c r="AM30" i="25"/>
  <c r="AL30" i="25"/>
  <c r="AK30" i="25"/>
  <c r="AJ30" i="25"/>
  <c r="AI30" i="25"/>
  <c r="AW29" i="25"/>
  <c r="AV29" i="25"/>
  <c r="AU29" i="25"/>
  <c r="AT29" i="25"/>
  <c r="AS29" i="25"/>
  <c r="AR29" i="25"/>
  <c r="AQ29" i="25"/>
  <c r="AP29" i="25"/>
  <c r="AO29" i="25"/>
  <c r="AN29" i="25"/>
  <c r="AM29" i="25"/>
  <c r="AL29" i="25"/>
  <c r="AK29" i="25"/>
  <c r="AJ29" i="25"/>
  <c r="AI29" i="25"/>
  <c r="AW28" i="25"/>
  <c r="AV28" i="25"/>
  <c r="AU28" i="25"/>
  <c r="AT28" i="25"/>
  <c r="AS28" i="25"/>
  <c r="AR28" i="25"/>
  <c r="AQ28" i="25"/>
  <c r="AP28" i="25"/>
  <c r="AO28" i="25"/>
  <c r="AN28" i="25"/>
  <c r="AM28" i="25"/>
  <c r="AL28" i="25"/>
  <c r="AK28" i="25"/>
  <c r="AJ28" i="25"/>
  <c r="AI28" i="25"/>
  <c r="AW27" i="25"/>
  <c r="AV27" i="25"/>
  <c r="AU27" i="25"/>
  <c r="AT27" i="25"/>
  <c r="AS27" i="25"/>
  <c r="AR27" i="25"/>
  <c r="AQ27" i="25"/>
  <c r="AP27" i="25"/>
  <c r="AO27" i="25"/>
  <c r="AN27" i="25"/>
  <c r="AM27" i="25"/>
  <c r="AL27" i="25"/>
  <c r="AK27" i="25"/>
  <c r="AJ27" i="25"/>
  <c r="AI27" i="25"/>
  <c r="AW21" i="25"/>
  <c r="AV21" i="25"/>
  <c r="AU21" i="25"/>
  <c r="AT21" i="25"/>
  <c r="AS21" i="25"/>
  <c r="AR21" i="25"/>
  <c r="AQ21" i="25"/>
  <c r="AP21" i="25"/>
  <c r="AO21" i="25"/>
  <c r="AN21" i="25"/>
  <c r="AM21" i="25"/>
  <c r="AL21" i="25"/>
  <c r="AK21" i="25"/>
  <c r="AJ21" i="25"/>
  <c r="AI21" i="25"/>
  <c r="AW20" i="25"/>
  <c r="AV20" i="25"/>
  <c r="AU20" i="25"/>
  <c r="AT20" i="25"/>
  <c r="AS20" i="25"/>
  <c r="AR20" i="25"/>
  <c r="AQ20" i="25"/>
  <c r="AP20" i="25"/>
  <c r="AO20" i="25"/>
  <c r="AN20" i="25"/>
  <c r="AM20" i="25"/>
  <c r="AL20" i="25"/>
  <c r="AK20" i="25"/>
  <c r="AJ20" i="25"/>
  <c r="AI20" i="25"/>
  <c r="AW19" i="25"/>
  <c r="AV19" i="25"/>
  <c r="AU19" i="25"/>
  <c r="AT19" i="25"/>
  <c r="AS19" i="25"/>
  <c r="AR19" i="25"/>
  <c r="AQ19" i="25"/>
  <c r="AP19" i="25"/>
  <c r="AO19" i="25"/>
  <c r="AN19" i="25"/>
  <c r="AM19" i="25"/>
  <c r="AL19" i="25"/>
  <c r="AK19" i="25"/>
  <c r="AJ19" i="25"/>
  <c r="AI19" i="25"/>
  <c r="AW18" i="25"/>
  <c r="AV18" i="25"/>
  <c r="AU18" i="25"/>
  <c r="AT18" i="25"/>
  <c r="AS18" i="25"/>
  <c r="AR18" i="25"/>
  <c r="AQ18" i="25"/>
  <c r="AP18" i="25"/>
  <c r="AO18" i="25"/>
  <c r="AN18" i="25"/>
  <c r="AM18" i="25"/>
  <c r="AL18" i="25"/>
  <c r="AK18" i="25"/>
  <c r="AJ18" i="25"/>
  <c r="AI18" i="25"/>
  <c r="AW17" i="25"/>
  <c r="AV17" i="25"/>
  <c r="AU17" i="25"/>
  <c r="AT17" i="25"/>
  <c r="AS17" i="25"/>
  <c r="AR17" i="25"/>
  <c r="AQ17" i="25"/>
  <c r="AP17" i="25"/>
  <c r="AO17" i="25"/>
  <c r="AN17" i="25"/>
  <c r="AM17" i="25"/>
  <c r="AL17" i="25"/>
  <c r="AK17" i="25"/>
  <c r="AJ17" i="25"/>
  <c r="AI17" i="25"/>
  <c r="CJ1" i="25"/>
  <c r="CH1" i="25"/>
  <c r="CG1" i="25"/>
  <c r="CF1" i="25"/>
  <c r="CC1" i="25"/>
  <c r="CJ1" i="36"/>
  <c r="CH1" i="36"/>
  <c r="CG1" i="36"/>
  <c r="CF1" i="36"/>
  <c r="CC1" i="36"/>
  <c r="CJ1" i="23"/>
  <c r="CH1" i="23"/>
  <c r="CG1" i="23"/>
  <c r="CF1" i="23"/>
  <c r="CC1" i="23"/>
  <c r="Q676" i="8"/>
  <c r="R676" i="8"/>
  <c r="S676" i="8"/>
  <c r="T676" i="8"/>
  <c r="Q44" i="8"/>
  <c r="R44" i="8"/>
  <c r="S44" i="8"/>
  <c r="T44" i="8"/>
  <c r="Q69" i="8"/>
  <c r="R69" i="8"/>
  <c r="S69" i="8"/>
  <c r="T69" i="8"/>
  <c r="Q81" i="8"/>
  <c r="R81" i="8"/>
  <c r="S81" i="8"/>
  <c r="T81" i="8"/>
  <c r="Q236" i="8"/>
  <c r="R236" i="8"/>
  <c r="S236" i="8"/>
  <c r="T236" i="8"/>
  <c r="Q318" i="8"/>
  <c r="R318" i="8"/>
  <c r="S318" i="8"/>
  <c r="T318" i="8"/>
  <c r="Q248" i="8"/>
  <c r="R248" i="8"/>
  <c r="S248" i="8"/>
  <c r="T248" i="8"/>
  <c r="P210" i="8" l="1"/>
  <c r="B211" i="8"/>
  <c r="P300" i="8"/>
  <c r="B301" i="8"/>
  <c r="B447" i="8"/>
  <c r="B448" i="8" s="1"/>
  <c r="B449" i="8" s="1"/>
  <c r="B450" i="8" s="1"/>
  <c r="B451" i="8" s="1"/>
  <c r="B452" i="8" s="1"/>
  <c r="P446" i="8"/>
  <c r="AL34" i="34"/>
  <c r="CK1" i="34" s="1"/>
  <c r="AK34" i="34"/>
  <c r="CH1" i="34" s="1"/>
  <c r="AK33" i="34"/>
  <c r="CG1" i="34" s="1"/>
  <c r="AL33" i="34"/>
  <c r="CJ1" i="34" s="1"/>
  <c r="AK34" i="31"/>
  <c r="AL34" i="31"/>
  <c r="AK33" i="31"/>
  <c r="AL33" i="31"/>
  <c r="AK33" i="25"/>
  <c r="CO1" i="25" s="1"/>
  <c r="AK34" i="25"/>
  <c r="CP1" i="25" s="1"/>
  <c r="AL33" i="25"/>
  <c r="CR1" i="25" s="1"/>
  <c r="AL34" i="25"/>
  <c r="CS1" i="25" s="1"/>
  <c r="B212" i="8" l="1"/>
  <c r="P211" i="8"/>
  <c r="B302" i="8"/>
  <c r="B303" i="8" s="1"/>
  <c r="P301" i="8"/>
  <c r="B453" i="8"/>
  <c r="B454" i="8" s="1"/>
  <c r="B455" i="8" s="1"/>
  <c r="P452" i="8"/>
  <c r="AJ28" i="36"/>
  <c r="AJ27" i="36"/>
  <c r="AI25" i="36"/>
  <c r="AJ25" i="36"/>
  <c r="AK25" i="36"/>
  <c r="AL25" i="36"/>
  <c r="AM25" i="36"/>
  <c r="AN25" i="36"/>
  <c r="AO25" i="36"/>
  <c r="AP25" i="36"/>
  <c r="AQ25" i="36"/>
  <c r="AR25" i="36"/>
  <c r="AS25" i="36"/>
  <c r="AT25" i="36"/>
  <c r="AU25" i="36"/>
  <c r="AV25" i="36"/>
  <c r="AW25" i="36"/>
  <c r="AI21" i="36"/>
  <c r="AJ21" i="36"/>
  <c r="AK21" i="36"/>
  <c r="AL21" i="36"/>
  <c r="AM21" i="36"/>
  <c r="AN21" i="36"/>
  <c r="AO21" i="36"/>
  <c r="AP21" i="36"/>
  <c r="AQ21" i="36"/>
  <c r="AR21" i="36"/>
  <c r="AS21" i="36"/>
  <c r="AT21" i="36"/>
  <c r="AU21" i="36"/>
  <c r="AV21" i="36"/>
  <c r="AW21" i="36"/>
  <c r="AI22" i="36"/>
  <c r="AJ22" i="36"/>
  <c r="AK22" i="36"/>
  <c r="AL22" i="36"/>
  <c r="AM22" i="36"/>
  <c r="AN22" i="36"/>
  <c r="AO22" i="36"/>
  <c r="AP22" i="36"/>
  <c r="AQ22" i="36"/>
  <c r="AR22" i="36"/>
  <c r="AS22" i="36"/>
  <c r="AT22" i="36"/>
  <c r="AU22" i="36"/>
  <c r="AV22" i="36"/>
  <c r="AW22" i="36"/>
  <c r="AI23" i="36"/>
  <c r="AJ23" i="36"/>
  <c r="AK23" i="36"/>
  <c r="AL23" i="36"/>
  <c r="AM23" i="36"/>
  <c r="AN23" i="36"/>
  <c r="AO23" i="36"/>
  <c r="AP23" i="36"/>
  <c r="AQ23" i="36"/>
  <c r="AR23" i="36"/>
  <c r="AS23" i="36"/>
  <c r="AT23" i="36"/>
  <c r="AU23" i="36"/>
  <c r="AV23" i="36"/>
  <c r="AW23" i="36"/>
  <c r="AI24" i="36"/>
  <c r="AJ24" i="36"/>
  <c r="AK24" i="36"/>
  <c r="AL24" i="36"/>
  <c r="AM24" i="36"/>
  <c r="AN24" i="36"/>
  <c r="AO24" i="36"/>
  <c r="AP24" i="36"/>
  <c r="AQ24" i="36"/>
  <c r="AR24" i="36"/>
  <c r="AS24" i="36"/>
  <c r="AT24" i="36"/>
  <c r="AU24" i="36"/>
  <c r="AV24" i="36"/>
  <c r="AW24" i="36"/>
  <c r="AW20" i="36"/>
  <c r="AV20" i="36"/>
  <c r="AU20" i="36"/>
  <c r="AT20" i="36"/>
  <c r="AS20" i="36"/>
  <c r="AR20" i="36"/>
  <c r="AQ20" i="36"/>
  <c r="AP20" i="36"/>
  <c r="AO20" i="36"/>
  <c r="AN20" i="36"/>
  <c r="AM20" i="36"/>
  <c r="AL20" i="36"/>
  <c r="AK20" i="36"/>
  <c r="AJ20" i="36"/>
  <c r="AI20" i="36"/>
  <c r="AW19" i="36"/>
  <c r="AV19" i="36"/>
  <c r="AU19" i="36"/>
  <c r="AT19" i="36"/>
  <c r="AS19" i="36"/>
  <c r="AR19" i="36"/>
  <c r="AQ19" i="36"/>
  <c r="AP19" i="36"/>
  <c r="AO19" i="36"/>
  <c r="AN19" i="36"/>
  <c r="AM19" i="36"/>
  <c r="AL19" i="36"/>
  <c r="AK19" i="36"/>
  <c r="AJ19" i="36"/>
  <c r="AI19" i="36"/>
  <c r="AW18" i="36"/>
  <c r="AV18" i="36"/>
  <c r="AU18" i="36"/>
  <c r="AT18" i="36"/>
  <c r="AS18" i="36"/>
  <c r="AR18" i="36"/>
  <c r="AQ18" i="36"/>
  <c r="AP18" i="36"/>
  <c r="AO18" i="36"/>
  <c r="AN18" i="36"/>
  <c r="AM18" i="36"/>
  <c r="AL18" i="36"/>
  <c r="AK18" i="36"/>
  <c r="AJ18" i="36"/>
  <c r="AI18" i="36"/>
  <c r="AW17" i="36"/>
  <c r="AV17" i="36"/>
  <c r="AU17" i="36"/>
  <c r="AT17" i="36"/>
  <c r="AS17" i="36"/>
  <c r="AR17" i="36"/>
  <c r="AQ17" i="36"/>
  <c r="AP17" i="36"/>
  <c r="AO17" i="36"/>
  <c r="AN17" i="36"/>
  <c r="AM17" i="36"/>
  <c r="AL17" i="36"/>
  <c r="AK17" i="36"/>
  <c r="AJ17" i="36"/>
  <c r="AI17" i="36"/>
  <c r="AW16" i="36"/>
  <c r="AV16" i="36"/>
  <c r="AU16" i="36"/>
  <c r="AT16" i="36"/>
  <c r="AS16" i="36"/>
  <c r="AR16" i="36"/>
  <c r="AQ16" i="36"/>
  <c r="AP16" i="36"/>
  <c r="AO16" i="36"/>
  <c r="AN16" i="36"/>
  <c r="AM16" i="36"/>
  <c r="AL16" i="36"/>
  <c r="AK16" i="36"/>
  <c r="AJ16" i="36"/>
  <c r="AI16" i="36"/>
  <c r="AJ34" i="23"/>
  <c r="AJ33" i="23"/>
  <c r="AW31" i="23"/>
  <c r="AV31" i="23"/>
  <c r="AU31" i="23"/>
  <c r="AT31" i="23"/>
  <c r="AS31" i="23"/>
  <c r="AW30" i="23"/>
  <c r="AV30" i="23"/>
  <c r="AU30" i="23"/>
  <c r="AT30" i="23"/>
  <c r="AS30" i="23"/>
  <c r="AW29" i="23"/>
  <c r="AV29" i="23"/>
  <c r="AU29" i="23"/>
  <c r="AT29" i="23"/>
  <c r="AS29" i="23"/>
  <c r="AW28" i="23"/>
  <c r="AV28" i="23"/>
  <c r="AU28" i="23"/>
  <c r="AT28" i="23"/>
  <c r="AS28" i="23"/>
  <c r="AW27" i="23"/>
  <c r="AV27" i="23"/>
  <c r="AU27" i="23"/>
  <c r="AT27" i="23"/>
  <c r="AS27" i="23"/>
  <c r="AS18" i="23"/>
  <c r="AT18" i="23"/>
  <c r="AU18" i="23"/>
  <c r="AV18" i="23"/>
  <c r="AW18" i="23"/>
  <c r="AS19" i="23"/>
  <c r="AT19" i="23"/>
  <c r="AU19" i="23"/>
  <c r="AV19" i="23"/>
  <c r="AW19" i="23"/>
  <c r="AS20" i="23"/>
  <c r="AT20" i="23"/>
  <c r="AU20" i="23"/>
  <c r="AV20" i="23"/>
  <c r="AW20" i="23"/>
  <c r="AS21" i="23"/>
  <c r="AT21" i="23"/>
  <c r="AU21" i="23"/>
  <c r="AV21" i="23"/>
  <c r="AW21" i="23"/>
  <c r="AT17" i="23"/>
  <c r="AU17" i="23"/>
  <c r="AV17" i="23"/>
  <c r="AW17" i="23"/>
  <c r="AS17" i="23"/>
  <c r="AR31" i="23"/>
  <c r="AQ31" i="23"/>
  <c r="AP31" i="23"/>
  <c r="AO31" i="23"/>
  <c r="AN31" i="23"/>
  <c r="AR30" i="23"/>
  <c r="AQ30" i="23"/>
  <c r="AP30" i="23"/>
  <c r="AO30" i="23"/>
  <c r="AN30" i="23"/>
  <c r="AR29" i="23"/>
  <c r="AQ29" i="23"/>
  <c r="AP29" i="23"/>
  <c r="AO29" i="23"/>
  <c r="AN29" i="23"/>
  <c r="AR28" i="23"/>
  <c r="AQ28" i="23"/>
  <c r="AP28" i="23"/>
  <c r="AO28" i="23"/>
  <c r="AN28" i="23"/>
  <c r="AR27" i="23"/>
  <c r="AQ27" i="23"/>
  <c r="AP27" i="23"/>
  <c r="AO27" i="23"/>
  <c r="AN27" i="23"/>
  <c r="AN18" i="23"/>
  <c r="AO18" i="23"/>
  <c r="AP18" i="23"/>
  <c r="AQ18" i="23"/>
  <c r="AR18" i="23"/>
  <c r="AN19" i="23"/>
  <c r="AO19" i="23"/>
  <c r="AP19" i="23"/>
  <c r="AQ19" i="23"/>
  <c r="AR19" i="23"/>
  <c r="AN20" i="23"/>
  <c r="AO20" i="23"/>
  <c r="AP20" i="23"/>
  <c r="AQ20" i="23"/>
  <c r="AR20" i="23"/>
  <c r="AN21" i="23"/>
  <c r="AO21" i="23"/>
  <c r="AP21" i="23"/>
  <c r="AQ21" i="23"/>
  <c r="AR21" i="23"/>
  <c r="AO17" i="23"/>
  <c r="AP17" i="23"/>
  <c r="AQ17" i="23"/>
  <c r="AR17" i="23"/>
  <c r="AN17" i="23"/>
  <c r="AM31" i="23"/>
  <c r="AL31" i="23"/>
  <c r="AK31" i="23"/>
  <c r="AJ31" i="23"/>
  <c r="AI31" i="23"/>
  <c r="AM30" i="23"/>
  <c r="AL30" i="23"/>
  <c r="AK30" i="23"/>
  <c r="AJ30" i="23"/>
  <c r="AI30" i="23"/>
  <c r="AM29" i="23"/>
  <c r="AL29" i="23"/>
  <c r="AK29" i="23"/>
  <c r="AJ29" i="23"/>
  <c r="AI29" i="23"/>
  <c r="AM28" i="23"/>
  <c r="AL28" i="23"/>
  <c r="AK28" i="23"/>
  <c r="AJ28" i="23"/>
  <c r="AI28" i="23"/>
  <c r="AM27" i="23"/>
  <c r="AL27" i="23"/>
  <c r="AK27" i="23"/>
  <c r="AJ27" i="23"/>
  <c r="AI27" i="23"/>
  <c r="AI21" i="23"/>
  <c r="AJ21" i="23"/>
  <c r="AK21" i="23"/>
  <c r="AL21" i="23"/>
  <c r="AM21" i="23"/>
  <c r="AI18" i="23"/>
  <c r="AJ18" i="23"/>
  <c r="AK18" i="23"/>
  <c r="AL18" i="23"/>
  <c r="AM18" i="23"/>
  <c r="AI19" i="23"/>
  <c r="AJ19" i="23"/>
  <c r="AK19" i="23"/>
  <c r="AL19" i="23"/>
  <c r="AM19" i="23"/>
  <c r="AI20" i="23"/>
  <c r="AJ20" i="23"/>
  <c r="AK20" i="23"/>
  <c r="AL20" i="23"/>
  <c r="AM20" i="23"/>
  <c r="AJ17" i="23"/>
  <c r="AK17" i="23"/>
  <c r="AL17" i="23"/>
  <c r="AM17" i="23"/>
  <c r="AI17" i="23"/>
  <c r="B304" i="8" l="1"/>
  <c r="B305" i="8" s="1"/>
  <c r="B306" i="8" s="1"/>
  <c r="P303" i="8"/>
  <c r="P212" i="8"/>
  <c r="B213" i="8"/>
  <c r="P302" i="8"/>
  <c r="B456" i="8"/>
  <c r="P455" i="8"/>
  <c r="AL34" i="23"/>
  <c r="CS1" i="23" s="1"/>
  <c r="AL33" i="23"/>
  <c r="CR1" i="23" s="1"/>
  <c r="AK28" i="36"/>
  <c r="CP1" i="36" s="1"/>
  <c r="AL27" i="36"/>
  <c r="CR1" i="36" s="1"/>
  <c r="AL28" i="36"/>
  <c r="CS1" i="36" s="1"/>
  <c r="AK27" i="36"/>
  <c r="CO1" i="36" s="1"/>
  <c r="AK34" i="23"/>
  <c r="CP1" i="23" s="1"/>
  <c r="AK33" i="23"/>
  <c r="CO1" i="23" s="1"/>
  <c r="Q710" i="8"/>
  <c r="R710" i="8"/>
  <c r="S710" i="8"/>
  <c r="T710" i="8"/>
  <c r="Q337" i="8"/>
  <c r="R337" i="8"/>
  <c r="S337" i="8"/>
  <c r="T337" i="8"/>
  <c r="Q339" i="8"/>
  <c r="R339" i="8"/>
  <c r="S339" i="8"/>
  <c r="T339" i="8"/>
  <c r="Q175" i="8"/>
  <c r="R175" i="8"/>
  <c r="S175" i="8"/>
  <c r="T175" i="8"/>
  <c r="Q200" i="8"/>
  <c r="R200" i="8"/>
  <c r="S200" i="8"/>
  <c r="T200" i="8"/>
  <c r="P367" i="8"/>
  <c r="Q367" i="8"/>
  <c r="R367" i="8"/>
  <c r="S367" i="8"/>
  <c r="T367" i="8"/>
  <c r="Q370" i="8"/>
  <c r="R370" i="8"/>
  <c r="S370" i="8"/>
  <c r="T370" i="8"/>
  <c r="Q642" i="8"/>
  <c r="R642" i="8"/>
  <c r="S642" i="8"/>
  <c r="T642" i="8"/>
  <c r="B214" i="8" l="1"/>
  <c r="P213" i="8"/>
  <c r="P304" i="8"/>
  <c r="B457" i="8"/>
  <c r="P456" i="8"/>
  <c r="P370" i="8"/>
  <c r="T138" i="8"/>
  <c r="T249" i="8"/>
  <c r="T296" i="8"/>
  <c r="T329" i="8"/>
  <c r="T234" i="8"/>
  <c r="T346" i="8"/>
  <c r="T341" i="8"/>
  <c r="T357" i="8"/>
  <c r="T360" i="8"/>
  <c r="T448" i="8"/>
  <c r="T396" i="8"/>
  <c r="T392" i="8"/>
  <c r="T502" i="8"/>
  <c r="T553" i="8"/>
  <c r="T701" i="8"/>
  <c r="T688" i="8"/>
  <c r="T704" i="8"/>
  <c r="T707" i="8"/>
  <c r="S688" i="8"/>
  <c r="S704" i="8"/>
  <c r="S707" i="8"/>
  <c r="Q138" i="8"/>
  <c r="R138" i="8"/>
  <c r="Q249" i="8"/>
  <c r="R249" i="8"/>
  <c r="Q296" i="8"/>
  <c r="R296" i="8"/>
  <c r="Q329" i="8"/>
  <c r="R329" i="8"/>
  <c r="Q234" i="8"/>
  <c r="R234" i="8"/>
  <c r="Q346" i="8"/>
  <c r="R346" i="8"/>
  <c r="Q341" i="8"/>
  <c r="R341" i="8"/>
  <c r="Q357" i="8"/>
  <c r="R357" i="8"/>
  <c r="Q360" i="8"/>
  <c r="R360" i="8"/>
  <c r="Q448" i="8"/>
  <c r="R448" i="8"/>
  <c r="Q396" i="8"/>
  <c r="R396" i="8"/>
  <c r="Q392" i="8"/>
  <c r="R392" i="8"/>
  <c r="Q502" i="8"/>
  <c r="R502" i="8"/>
  <c r="Q553" i="8"/>
  <c r="R553" i="8"/>
  <c r="Q701" i="8"/>
  <c r="R701" i="8"/>
  <c r="Q688" i="8"/>
  <c r="R688" i="8"/>
  <c r="Q704" i="8"/>
  <c r="R704" i="8"/>
  <c r="Q707" i="8"/>
  <c r="R707" i="8"/>
  <c r="S701" i="8"/>
  <c r="S553" i="8"/>
  <c r="S502" i="8"/>
  <c r="S392" i="8"/>
  <c r="S396" i="8"/>
  <c r="S448" i="8"/>
  <c r="S360" i="8"/>
  <c r="S357" i="8"/>
  <c r="S341" i="8"/>
  <c r="S346" i="8"/>
  <c r="S234" i="8"/>
  <c r="S329" i="8"/>
  <c r="S296" i="8"/>
  <c r="S249" i="8"/>
  <c r="P214" i="8" l="1"/>
  <c r="B215" i="8"/>
  <c r="P305" i="8"/>
  <c r="B458" i="8"/>
  <c r="B459" i="8" s="1"/>
  <c r="B460" i="8" s="1"/>
  <c r="P457" i="8"/>
  <c r="S138" i="8"/>
  <c r="P215" i="8" l="1"/>
  <c r="B216" i="8"/>
  <c r="B307" i="8"/>
  <c r="P306" i="8"/>
  <c r="B461" i="8"/>
  <c r="B462" i="8" s="1"/>
  <c r="P460" i="8"/>
  <c r="P624" i="8"/>
  <c r="P337" i="8"/>
  <c r="B217" i="8" l="1"/>
  <c r="P216" i="8"/>
  <c r="B308" i="8"/>
  <c r="P307" i="8"/>
  <c r="P628" i="8"/>
  <c r="P91" i="8"/>
  <c r="P339" i="8"/>
  <c r="P217" i="8" l="1"/>
  <c r="B218" i="8"/>
  <c r="B309" i="8"/>
  <c r="P308" i="8"/>
  <c r="P632" i="8"/>
  <c r="Q34" i="8"/>
  <c r="R34" i="8"/>
  <c r="S34" i="8"/>
  <c r="T34" i="8"/>
  <c r="Q59" i="8"/>
  <c r="R59" i="8"/>
  <c r="S59" i="8"/>
  <c r="T59" i="8"/>
  <c r="Q259" i="8"/>
  <c r="R259" i="8"/>
  <c r="S259" i="8"/>
  <c r="T259" i="8"/>
  <c r="Q263" i="8"/>
  <c r="R263" i="8"/>
  <c r="S263" i="8"/>
  <c r="T263" i="8"/>
  <c r="Q289" i="8"/>
  <c r="R289" i="8"/>
  <c r="S289" i="8"/>
  <c r="T289" i="8"/>
  <c r="Q668" i="8"/>
  <c r="R668" i="8"/>
  <c r="S668" i="8"/>
  <c r="T668" i="8"/>
  <c r="Q663" i="8"/>
  <c r="R663" i="8"/>
  <c r="S663" i="8"/>
  <c r="T663" i="8"/>
  <c r="Q380" i="8"/>
  <c r="R380" i="8"/>
  <c r="S380" i="8"/>
  <c r="T380" i="8"/>
  <c r="Q378" i="8"/>
  <c r="R378" i="8"/>
  <c r="S378" i="8"/>
  <c r="T378" i="8"/>
  <c r="Q557" i="8"/>
  <c r="R557" i="8"/>
  <c r="S557" i="8"/>
  <c r="T557" i="8"/>
  <c r="Q217" i="8"/>
  <c r="R217" i="8"/>
  <c r="S217" i="8"/>
  <c r="T217" i="8"/>
  <c r="Q198" i="8"/>
  <c r="R198" i="8"/>
  <c r="S198" i="8"/>
  <c r="T198" i="8"/>
  <c r="Q57" i="8"/>
  <c r="R57" i="8"/>
  <c r="S57" i="8"/>
  <c r="T57" i="8"/>
  <c r="Q47" i="8"/>
  <c r="R47" i="8"/>
  <c r="S47" i="8"/>
  <c r="T47" i="8"/>
  <c r="Q621" i="8"/>
  <c r="R621" i="8"/>
  <c r="S621" i="8"/>
  <c r="T621" i="8"/>
  <c r="Q619" i="8"/>
  <c r="R619" i="8"/>
  <c r="S619" i="8"/>
  <c r="T619" i="8"/>
  <c r="Q653" i="8"/>
  <c r="R653" i="8"/>
  <c r="S653" i="8"/>
  <c r="T653" i="8"/>
  <c r="Q338" i="8"/>
  <c r="R338" i="8"/>
  <c r="S338" i="8"/>
  <c r="T338" i="8"/>
  <c r="Q336" i="8"/>
  <c r="R336" i="8"/>
  <c r="S336" i="8"/>
  <c r="T336" i="8"/>
  <c r="Q343" i="8"/>
  <c r="R343" i="8"/>
  <c r="S343" i="8"/>
  <c r="T343" i="8"/>
  <c r="Q345" i="8"/>
  <c r="R345" i="8"/>
  <c r="S345" i="8"/>
  <c r="T345" i="8"/>
  <c r="Q344" i="8"/>
  <c r="R344" i="8"/>
  <c r="S344" i="8"/>
  <c r="T344" i="8"/>
  <c r="Q354" i="8"/>
  <c r="R354" i="8"/>
  <c r="S354" i="8"/>
  <c r="T354" i="8"/>
  <c r="Q333" i="8"/>
  <c r="R333" i="8"/>
  <c r="S333" i="8"/>
  <c r="T333" i="8"/>
  <c r="Q254" i="8"/>
  <c r="R254" i="8"/>
  <c r="S254" i="8"/>
  <c r="T254" i="8"/>
  <c r="Q271" i="8"/>
  <c r="R271" i="8"/>
  <c r="S271" i="8"/>
  <c r="T271" i="8"/>
  <c r="Q272" i="8"/>
  <c r="R272" i="8"/>
  <c r="S272" i="8"/>
  <c r="T272" i="8"/>
  <c r="Q237" i="8"/>
  <c r="R237" i="8"/>
  <c r="S237" i="8"/>
  <c r="T237" i="8"/>
  <c r="Q77" i="8"/>
  <c r="R77" i="8"/>
  <c r="S77" i="8"/>
  <c r="T77" i="8"/>
  <c r="Q80" i="8"/>
  <c r="R80" i="8"/>
  <c r="S80" i="8"/>
  <c r="T80" i="8"/>
  <c r="Q84" i="8"/>
  <c r="R84" i="8"/>
  <c r="S84" i="8"/>
  <c r="T84" i="8"/>
  <c r="Q85" i="8"/>
  <c r="R85" i="8"/>
  <c r="S85" i="8"/>
  <c r="T85" i="8"/>
  <c r="Q501" i="8"/>
  <c r="R501" i="8"/>
  <c r="S501" i="8"/>
  <c r="T501" i="8"/>
  <c r="Q21" i="8"/>
  <c r="R21" i="8"/>
  <c r="S21" i="8"/>
  <c r="T21" i="8"/>
  <c r="Q22" i="8"/>
  <c r="R22" i="8"/>
  <c r="S22" i="8"/>
  <c r="T22" i="8"/>
  <c r="Q12" i="8"/>
  <c r="R12" i="8"/>
  <c r="S12" i="8"/>
  <c r="T12" i="8"/>
  <c r="Q212" i="8"/>
  <c r="R212" i="8"/>
  <c r="S212" i="8"/>
  <c r="T212" i="8"/>
  <c r="Q612" i="8"/>
  <c r="R612" i="8"/>
  <c r="S612" i="8"/>
  <c r="T612" i="8"/>
  <c r="Q618" i="8"/>
  <c r="R618" i="8"/>
  <c r="S618" i="8"/>
  <c r="T618" i="8"/>
  <c r="Q643" i="8"/>
  <c r="R643" i="8"/>
  <c r="S643" i="8"/>
  <c r="T643" i="8"/>
  <c r="Q262" i="8"/>
  <c r="R262" i="8"/>
  <c r="S262" i="8"/>
  <c r="T262" i="8"/>
  <c r="P218" i="8" l="1"/>
  <c r="B219" i="8"/>
  <c r="P309" i="8"/>
  <c r="B310" i="8"/>
  <c r="P633" i="8"/>
  <c r="P341" i="8"/>
  <c r="T206" i="8"/>
  <c r="S206" i="8"/>
  <c r="R206" i="8"/>
  <c r="Q206" i="8"/>
  <c r="P219" i="8" l="1"/>
  <c r="B220" i="8"/>
  <c r="P310" i="8"/>
  <c r="B311" i="8"/>
  <c r="P637" i="8"/>
  <c r="T511" i="8"/>
  <c r="S511" i="8"/>
  <c r="R511" i="8"/>
  <c r="Q511" i="8"/>
  <c r="T555" i="8"/>
  <c r="S555" i="8"/>
  <c r="R555" i="8"/>
  <c r="Q555" i="8"/>
  <c r="T556" i="8"/>
  <c r="S556" i="8"/>
  <c r="R556" i="8"/>
  <c r="Q556" i="8"/>
  <c r="T593" i="8"/>
  <c r="S593" i="8"/>
  <c r="R593" i="8"/>
  <c r="Q593" i="8"/>
  <c r="T523" i="8"/>
  <c r="S523" i="8"/>
  <c r="R523" i="8"/>
  <c r="Q523" i="8"/>
  <c r="T482" i="8"/>
  <c r="S482" i="8"/>
  <c r="R482" i="8"/>
  <c r="Q482" i="8"/>
  <c r="T393" i="8"/>
  <c r="S393" i="8"/>
  <c r="R393" i="8"/>
  <c r="Q393" i="8"/>
  <c r="T244" i="8"/>
  <c r="S244" i="8"/>
  <c r="R244" i="8"/>
  <c r="Q244" i="8"/>
  <c r="T202" i="8"/>
  <c r="S202" i="8"/>
  <c r="R202" i="8"/>
  <c r="Q202" i="8"/>
  <c r="B221" i="8" l="1"/>
  <c r="P220" i="8"/>
  <c r="P311" i="8"/>
  <c r="B312" i="8"/>
  <c r="P640" i="8"/>
  <c r="B222" i="8" l="1"/>
  <c r="P221" i="8"/>
  <c r="P312" i="8"/>
  <c r="B313" i="8"/>
  <c r="P641" i="8"/>
  <c r="P346" i="8"/>
  <c r="B223" i="8" l="1"/>
  <c r="P222" i="8"/>
  <c r="B314" i="8"/>
  <c r="P313" i="8"/>
  <c r="P649" i="8"/>
  <c r="B224" i="8" l="1"/>
  <c r="P223" i="8"/>
  <c r="B315" i="8"/>
  <c r="P314" i="8"/>
  <c r="Q669" i="8"/>
  <c r="R669" i="8"/>
  <c r="T669" i="8"/>
  <c r="Q695" i="8"/>
  <c r="R695" i="8"/>
  <c r="T695" i="8"/>
  <c r="Q698" i="8"/>
  <c r="R698" i="8"/>
  <c r="T698" i="8"/>
  <c r="Q699" i="8"/>
  <c r="R699" i="8"/>
  <c r="T699" i="8"/>
  <c r="Q705" i="8"/>
  <c r="R705" i="8"/>
  <c r="T705" i="8"/>
  <c r="Q713" i="8"/>
  <c r="R713" i="8"/>
  <c r="T713" i="8"/>
  <c r="Q53" i="8"/>
  <c r="R53" i="8"/>
  <c r="T53" i="8"/>
  <c r="Q82" i="8"/>
  <c r="R82" i="8"/>
  <c r="T82" i="8"/>
  <c r="Q106" i="8"/>
  <c r="R106" i="8"/>
  <c r="T106" i="8"/>
  <c r="Q107" i="8"/>
  <c r="R107" i="8"/>
  <c r="T107" i="8"/>
  <c r="Q109" i="8"/>
  <c r="R109" i="8"/>
  <c r="T109" i="8"/>
  <c r="Q160" i="8"/>
  <c r="R160" i="8"/>
  <c r="T160" i="8"/>
  <c r="Q205" i="8"/>
  <c r="R205" i="8"/>
  <c r="T205" i="8"/>
  <c r="Q241" i="8"/>
  <c r="R241" i="8"/>
  <c r="T241" i="8"/>
  <c r="Q324" i="8"/>
  <c r="R324" i="8"/>
  <c r="T324" i="8"/>
  <c r="Q325" i="8"/>
  <c r="R325" i="8"/>
  <c r="T325" i="8"/>
  <c r="Q472" i="8"/>
  <c r="R472" i="8"/>
  <c r="T472" i="8"/>
  <c r="Q491" i="8"/>
  <c r="R491" i="8"/>
  <c r="T491" i="8"/>
  <c r="Q512" i="8"/>
  <c r="R512" i="8"/>
  <c r="T512" i="8"/>
  <c r="Q515" i="8"/>
  <c r="R515" i="8"/>
  <c r="T515" i="8"/>
  <c r="Q529" i="8"/>
  <c r="R529" i="8"/>
  <c r="T529" i="8"/>
  <c r="Q601" i="8"/>
  <c r="R601" i="8"/>
  <c r="T601" i="8"/>
  <c r="Q39" i="8"/>
  <c r="R39" i="8"/>
  <c r="T39" i="8"/>
  <c r="Q613" i="8"/>
  <c r="R613" i="8"/>
  <c r="T613" i="8"/>
  <c r="P224" i="8" l="1"/>
  <c r="B225" i="8"/>
  <c r="P225" i="8" s="1"/>
  <c r="P315" i="8"/>
  <c r="B316" i="8"/>
  <c r="P160" i="8"/>
  <c r="Q70" i="8"/>
  <c r="R70" i="8"/>
  <c r="T70" i="8"/>
  <c r="Q120" i="8"/>
  <c r="R120" i="8"/>
  <c r="T120" i="8"/>
  <c r="Q161" i="8"/>
  <c r="R161" i="8"/>
  <c r="T161" i="8"/>
  <c r="Q231" i="8"/>
  <c r="R231" i="8"/>
  <c r="T231" i="8"/>
  <c r="Q250" i="8"/>
  <c r="R250" i="8"/>
  <c r="T250" i="8"/>
  <c r="Q251" i="8"/>
  <c r="R251" i="8"/>
  <c r="T251" i="8"/>
  <c r="Q260" i="8"/>
  <c r="R260" i="8"/>
  <c r="T260" i="8"/>
  <c r="Q506" i="8"/>
  <c r="R506" i="8"/>
  <c r="T506" i="8"/>
  <c r="Q532" i="8"/>
  <c r="R532" i="8"/>
  <c r="T532" i="8"/>
  <c r="Q539" i="8"/>
  <c r="R539" i="8"/>
  <c r="T539" i="8"/>
  <c r="Q560" i="8"/>
  <c r="R560" i="8"/>
  <c r="T560" i="8"/>
  <c r="Q581" i="8"/>
  <c r="R581" i="8"/>
  <c r="T581" i="8"/>
  <c r="Q597" i="8"/>
  <c r="R597" i="8"/>
  <c r="T597" i="8"/>
  <c r="P316" i="8" l="1"/>
  <c r="B317" i="8"/>
  <c r="T645" i="8"/>
  <c r="R645" i="8"/>
  <c r="Q645" i="8"/>
  <c r="T390" i="8"/>
  <c r="R390" i="8"/>
  <c r="Q390" i="8"/>
  <c r="T395" i="8"/>
  <c r="R395" i="8"/>
  <c r="Q395" i="8"/>
  <c r="T195" i="8"/>
  <c r="R195" i="8"/>
  <c r="Q195" i="8"/>
  <c r="T183" i="8"/>
  <c r="R183" i="8"/>
  <c r="Q183" i="8"/>
  <c r="T134" i="8"/>
  <c r="R134" i="8"/>
  <c r="Q134" i="8"/>
  <c r="T115" i="8"/>
  <c r="R115" i="8"/>
  <c r="Q115" i="8"/>
  <c r="T111" i="8"/>
  <c r="R111" i="8"/>
  <c r="Q111" i="8"/>
  <c r="T124" i="8"/>
  <c r="R124" i="8"/>
  <c r="Q124" i="8"/>
  <c r="T102" i="8"/>
  <c r="R102" i="8"/>
  <c r="Q102" i="8"/>
  <c r="T464" i="8"/>
  <c r="R464" i="8"/>
  <c r="Q464" i="8"/>
  <c r="T335" i="8"/>
  <c r="R335" i="8"/>
  <c r="Q335" i="8"/>
  <c r="B318" i="8" l="1"/>
  <c r="P317" i="8"/>
  <c r="Q531" i="8"/>
  <c r="R531" i="8"/>
  <c r="T531" i="8"/>
  <c r="T222" i="8"/>
  <c r="R222" i="8"/>
  <c r="Q222" i="8"/>
  <c r="T163" i="8"/>
  <c r="R163" i="8"/>
  <c r="Q163" i="8"/>
  <c r="Q23" i="8"/>
  <c r="R23" i="8"/>
  <c r="T23" i="8"/>
  <c r="Q131" i="8"/>
  <c r="R131" i="8"/>
  <c r="T131" i="8"/>
  <c r="Q132" i="8"/>
  <c r="R132" i="8"/>
  <c r="T132" i="8"/>
  <c r="Q286" i="8"/>
  <c r="R286" i="8"/>
  <c r="T286" i="8"/>
  <c r="Q490" i="8"/>
  <c r="R490" i="8"/>
  <c r="T490" i="8"/>
  <c r="P318" i="8" l="1"/>
  <c r="B319" i="8"/>
  <c r="P164" i="8"/>
  <c r="P338" i="8"/>
  <c r="B320" i="8" l="1"/>
  <c r="B321" i="8" s="1"/>
  <c r="P319" i="8"/>
  <c r="P336" i="8"/>
  <c r="P321" i="8" l="1"/>
  <c r="B322" i="8"/>
  <c r="B323" i="8" s="1"/>
  <c r="B324" i="8" s="1"/>
  <c r="B325" i="8" s="1"/>
  <c r="P320" i="8"/>
  <c r="P343" i="8"/>
  <c r="P322" i="8" l="1"/>
  <c r="P345" i="8"/>
  <c r="P323" i="8" l="1"/>
  <c r="P344" i="8"/>
  <c r="P324" i="8" l="1"/>
  <c r="P333" i="8"/>
  <c r="P325" i="8" l="1"/>
  <c r="B326" i="8"/>
  <c r="P166" i="8"/>
  <c r="B327" i="8" l="1"/>
  <c r="P326" i="8"/>
  <c r="T467" i="8"/>
  <c r="R467" i="8"/>
  <c r="Q467" i="8"/>
  <c r="T466" i="8"/>
  <c r="R466" i="8"/>
  <c r="Q466" i="8"/>
  <c r="P327" i="8" l="1"/>
  <c r="B328" i="8"/>
  <c r="P163" i="8"/>
  <c r="T76" i="8"/>
  <c r="R76" i="8"/>
  <c r="Q76" i="8"/>
  <c r="P328" i="8" l="1"/>
  <c r="B329" i="8"/>
  <c r="T689" i="8"/>
  <c r="R689" i="8"/>
  <c r="Q689" i="8"/>
  <c r="T558" i="8"/>
  <c r="R558" i="8"/>
  <c r="Q558" i="8"/>
  <c r="T533" i="8"/>
  <c r="R533" i="8"/>
  <c r="Q533" i="8"/>
  <c r="T514" i="8"/>
  <c r="R514" i="8"/>
  <c r="Q514" i="8"/>
  <c r="T485" i="8"/>
  <c r="R485" i="8"/>
  <c r="Q485" i="8"/>
  <c r="T169" i="8"/>
  <c r="R169" i="8"/>
  <c r="Q169" i="8"/>
  <c r="B330" i="8" l="1"/>
  <c r="P329" i="8"/>
  <c r="T223" i="8"/>
  <c r="R223" i="8"/>
  <c r="Q223" i="8"/>
  <c r="T208" i="8"/>
  <c r="R208" i="8"/>
  <c r="Q208" i="8"/>
  <c r="T149" i="8"/>
  <c r="R149" i="8"/>
  <c r="Q149" i="8"/>
  <c r="T153" i="8"/>
  <c r="R153" i="8"/>
  <c r="Q153" i="8"/>
  <c r="T150" i="8"/>
  <c r="R150" i="8"/>
  <c r="Q150" i="8"/>
  <c r="B331" i="8" l="1"/>
  <c r="P330" i="8"/>
  <c r="T591" i="8"/>
  <c r="R591" i="8"/>
  <c r="Q591" i="8"/>
  <c r="T709" i="8"/>
  <c r="R709" i="8"/>
  <c r="Q709" i="8"/>
  <c r="T708" i="8"/>
  <c r="R708" i="8"/>
  <c r="Q708" i="8"/>
  <c r="T171" i="8"/>
  <c r="R171" i="8"/>
  <c r="Q171" i="8"/>
  <c r="T488" i="8"/>
  <c r="R488" i="8"/>
  <c r="Q488" i="8"/>
  <c r="T235" i="8"/>
  <c r="R235" i="8"/>
  <c r="Q235" i="8"/>
  <c r="B332" i="8" l="1"/>
  <c r="P332" i="8" s="1"/>
  <c r="P331" i="8"/>
  <c r="T592" i="8"/>
  <c r="R592" i="8"/>
  <c r="Q592" i="8"/>
  <c r="T55" i="8"/>
  <c r="R55" i="8"/>
  <c r="Q55" i="8"/>
  <c r="T598" i="8" l="1"/>
  <c r="R598" i="8"/>
  <c r="Q598" i="8"/>
  <c r="T571" i="8"/>
  <c r="R571" i="8"/>
  <c r="Q571" i="8"/>
  <c r="T526" i="8"/>
  <c r="R526" i="8"/>
  <c r="Q526" i="8"/>
  <c r="T495" i="8"/>
  <c r="R495" i="8"/>
  <c r="Q495" i="8"/>
  <c r="T417" i="8"/>
  <c r="R417" i="8"/>
  <c r="Q417" i="8"/>
  <c r="T419" i="8"/>
  <c r="R419" i="8"/>
  <c r="Q419" i="8"/>
  <c r="T424" i="8"/>
  <c r="R424" i="8"/>
  <c r="Q424" i="8"/>
  <c r="T308" i="8"/>
  <c r="R308" i="8"/>
  <c r="Q308" i="8"/>
  <c r="T301" i="8"/>
  <c r="R301" i="8"/>
  <c r="Q301" i="8"/>
  <c r="T126" i="8"/>
  <c r="R126" i="8"/>
  <c r="Q126" i="8"/>
  <c r="T88" i="8"/>
  <c r="R88" i="8"/>
  <c r="Q88" i="8"/>
  <c r="T276" i="8" l="1"/>
  <c r="R276" i="8"/>
  <c r="Q276" i="8"/>
  <c r="T90" i="8" l="1"/>
  <c r="R90" i="8"/>
  <c r="Q90" i="8"/>
  <c r="T348" i="8"/>
  <c r="R348" i="8"/>
  <c r="Q348" i="8"/>
  <c r="T441" i="8"/>
  <c r="R441" i="8"/>
  <c r="Q441" i="8"/>
  <c r="T430" i="8"/>
  <c r="R430" i="8"/>
  <c r="Q430" i="8"/>
  <c r="Q567" i="8" l="1"/>
  <c r="R567" i="8"/>
  <c r="T567" i="8"/>
  <c r="Q5" i="8"/>
  <c r="R5" i="8"/>
  <c r="T5" i="8"/>
  <c r="Q10" i="8"/>
  <c r="R10" i="8"/>
  <c r="T10" i="8"/>
  <c r="Q14" i="8"/>
  <c r="R14" i="8"/>
  <c r="T14" i="8"/>
  <c r="Q25" i="8"/>
  <c r="R25" i="8"/>
  <c r="T25" i="8"/>
  <c r="Q352" i="8"/>
  <c r="R352" i="8"/>
  <c r="T352" i="8"/>
  <c r="Q30" i="8"/>
  <c r="R30" i="8"/>
  <c r="T30" i="8"/>
  <c r="Q35" i="8"/>
  <c r="R35" i="8"/>
  <c r="T35" i="8"/>
  <c r="Q36" i="8"/>
  <c r="R36" i="8"/>
  <c r="T36" i="8"/>
  <c r="Q37" i="8"/>
  <c r="R37" i="8"/>
  <c r="T37" i="8"/>
  <c r="Q48" i="8"/>
  <c r="R48" i="8"/>
  <c r="T48" i="8"/>
  <c r="Q49" i="8"/>
  <c r="R49" i="8"/>
  <c r="T49" i="8"/>
  <c r="Q50" i="8"/>
  <c r="R50" i="8"/>
  <c r="T50" i="8"/>
  <c r="Q61" i="8"/>
  <c r="R61" i="8"/>
  <c r="T61" i="8"/>
  <c r="Q64" i="8"/>
  <c r="R64" i="8"/>
  <c r="T64" i="8"/>
  <c r="Q67" i="8"/>
  <c r="R67" i="8"/>
  <c r="T67" i="8"/>
  <c r="Q71" i="8"/>
  <c r="R71" i="8"/>
  <c r="T71" i="8"/>
  <c r="Q72" i="8"/>
  <c r="R72" i="8"/>
  <c r="T72" i="8"/>
  <c r="Q83" i="8"/>
  <c r="R83" i="8"/>
  <c r="T83" i="8"/>
  <c r="Q87" i="8"/>
  <c r="R87" i="8"/>
  <c r="T87" i="8"/>
  <c r="Q89" i="8"/>
  <c r="R89" i="8"/>
  <c r="T89" i="8"/>
  <c r="Q93" i="8"/>
  <c r="R93" i="8"/>
  <c r="T93" i="8"/>
  <c r="Q94" i="8"/>
  <c r="R94" i="8"/>
  <c r="T94" i="8"/>
  <c r="Q100" i="8"/>
  <c r="R100" i="8"/>
  <c r="T100" i="8"/>
  <c r="Q101" i="8"/>
  <c r="R101" i="8"/>
  <c r="T101" i="8"/>
  <c r="Q103" i="8"/>
  <c r="R103" i="8"/>
  <c r="T103" i="8"/>
  <c r="Q104" i="8"/>
  <c r="R104" i="8"/>
  <c r="T104" i="8"/>
  <c r="Q108" i="8"/>
  <c r="R108" i="8"/>
  <c r="T108" i="8"/>
  <c r="Q112" i="8"/>
  <c r="R112" i="8"/>
  <c r="T112" i="8"/>
  <c r="Q121" i="8"/>
  <c r="R121" i="8"/>
  <c r="T121" i="8"/>
  <c r="Q139" i="8"/>
  <c r="R139" i="8"/>
  <c r="T139" i="8"/>
  <c r="Q141" i="8"/>
  <c r="R141" i="8"/>
  <c r="T141" i="8"/>
  <c r="Q142" i="8"/>
  <c r="R142" i="8"/>
  <c r="T142" i="8"/>
  <c r="Q144" i="8"/>
  <c r="R144" i="8"/>
  <c r="T144" i="8"/>
  <c r="Q145" i="8"/>
  <c r="R145" i="8"/>
  <c r="T145" i="8"/>
  <c r="Q146" i="8"/>
  <c r="R146" i="8"/>
  <c r="T146" i="8"/>
  <c r="Q147" i="8"/>
  <c r="R147" i="8"/>
  <c r="T147" i="8"/>
  <c r="Q148" i="8"/>
  <c r="R148" i="8"/>
  <c r="T148" i="8"/>
  <c r="Q151" i="8"/>
  <c r="R151" i="8"/>
  <c r="T151" i="8"/>
  <c r="Q152" i="8"/>
  <c r="R152" i="8"/>
  <c r="T152" i="8"/>
  <c r="Q154" i="8"/>
  <c r="R154" i="8"/>
  <c r="T154" i="8"/>
  <c r="Q155" i="8"/>
  <c r="R155" i="8"/>
  <c r="T155" i="8"/>
  <c r="Q157" i="8"/>
  <c r="R157" i="8"/>
  <c r="T157" i="8"/>
  <c r="Q158" i="8"/>
  <c r="R158" i="8"/>
  <c r="T158" i="8"/>
  <c r="Q159" i="8"/>
  <c r="R159" i="8"/>
  <c r="T159" i="8"/>
  <c r="Q162" i="8"/>
  <c r="R162" i="8"/>
  <c r="T162" i="8"/>
  <c r="Q172" i="8"/>
  <c r="R172" i="8"/>
  <c r="T172" i="8"/>
  <c r="Q173" i="8"/>
  <c r="R173" i="8"/>
  <c r="T173" i="8"/>
  <c r="Q232" i="8"/>
  <c r="R232" i="8"/>
  <c r="T232" i="8"/>
  <c r="Q243" i="8"/>
  <c r="R243" i="8"/>
  <c r="T243" i="8"/>
  <c r="Q245" i="8"/>
  <c r="R245" i="8"/>
  <c r="T245" i="8"/>
  <c r="Q302" i="8"/>
  <c r="R302" i="8"/>
  <c r="T302" i="8"/>
  <c r="Q319" i="8"/>
  <c r="R319" i="8"/>
  <c r="T319" i="8"/>
  <c r="Q327" i="8"/>
  <c r="R327" i="8"/>
  <c r="T327" i="8"/>
  <c r="Q363" i="8"/>
  <c r="R363" i="8"/>
  <c r="T363" i="8"/>
  <c r="Q364" i="8"/>
  <c r="R364" i="8"/>
  <c r="T364" i="8"/>
  <c r="Q366" i="8"/>
  <c r="R366" i="8"/>
  <c r="T366" i="8"/>
  <c r="Q368" i="8"/>
  <c r="R368" i="8"/>
  <c r="T368" i="8"/>
  <c r="Q369" i="8"/>
  <c r="R369" i="8"/>
  <c r="T369" i="8"/>
  <c r="Q26" i="8"/>
  <c r="R26" i="8"/>
  <c r="T26" i="8"/>
  <c r="Q373" i="8"/>
  <c r="R373" i="8"/>
  <c r="T373" i="8"/>
  <c r="Q374" i="8"/>
  <c r="R374" i="8"/>
  <c r="T374" i="8"/>
  <c r="Q377" i="8"/>
  <c r="R377" i="8"/>
  <c r="T377" i="8"/>
  <c r="Q381" i="8"/>
  <c r="R381" i="8"/>
  <c r="T381" i="8"/>
  <c r="Q382" i="8"/>
  <c r="R382" i="8"/>
  <c r="T382" i="8"/>
  <c r="Q384" i="8"/>
  <c r="R384" i="8"/>
  <c r="T384" i="8"/>
  <c r="Q284" i="8"/>
  <c r="R284" i="8"/>
  <c r="T284" i="8"/>
  <c r="Q388" i="8"/>
  <c r="T388" i="8"/>
  <c r="Q389" i="8"/>
  <c r="R389" i="8"/>
  <c r="T389" i="8"/>
  <c r="Q351" i="8"/>
  <c r="R351" i="8"/>
  <c r="T351" i="8"/>
  <c r="Q405" i="8"/>
  <c r="R405" i="8"/>
  <c r="T405" i="8"/>
  <c r="Q406" i="8"/>
  <c r="R406" i="8"/>
  <c r="T406" i="8"/>
  <c r="Q413" i="8"/>
  <c r="R413" i="8"/>
  <c r="T413" i="8"/>
  <c r="Q418" i="8"/>
  <c r="R418" i="8"/>
  <c r="T418" i="8"/>
  <c r="Q420" i="8"/>
  <c r="R420" i="8"/>
  <c r="T420" i="8"/>
  <c r="Q421" i="8"/>
  <c r="R421" i="8"/>
  <c r="T421" i="8"/>
  <c r="Q423" i="8"/>
  <c r="R423" i="8"/>
  <c r="T423" i="8"/>
  <c r="Q425" i="8"/>
  <c r="R425" i="8"/>
  <c r="T425" i="8"/>
  <c r="Q438" i="8"/>
  <c r="R438" i="8"/>
  <c r="T438" i="8"/>
  <c r="Q439" i="8"/>
  <c r="R439" i="8"/>
  <c r="T439" i="8"/>
  <c r="Q440" i="8"/>
  <c r="R440" i="8"/>
  <c r="T440" i="8"/>
  <c r="Q459" i="8"/>
  <c r="R459" i="8"/>
  <c r="T459" i="8"/>
  <c r="Q462" i="8"/>
  <c r="R462" i="8"/>
  <c r="T462" i="8"/>
  <c r="Q470" i="8"/>
  <c r="R470" i="8"/>
  <c r="T470" i="8"/>
  <c r="Q471" i="8"/>
  <c r="R471" i="8"/>
  <c r="T471" i="8"/>
  <c r="Q473" i="8"/>
  <c r="R473" i="8"/>
  <c r="T473" i="8"/>
  <c r="Q474" i="8"/>
  <c r="R474" i="8"/>
  <c r="T474" i="8"/>
  <c r="Q477" i="8"/>
  <c r="R477" i="8"/>
  <c r="T477" i="8"/>
  <c r="Q480" i="8"/>
  <c r="R480" i="8"/>
  <c r="T480" i="8"/>
  <c r="Q481" i="8"/>
  <c r="R481" i="8"/>
  <c r="T481" i="8"/>
  <c r="Q492" i="8"/>
  <c r="R492" i="8"/>
  <c r="T492" i="8"/>
  <c r="Q504" i="8"/>
  <c r="R504" i="8"/>
  <c r="T504" i="8"/>
  <c r="Q505" i="8"/>
  <c r="R505" i="8"/>
  <c r="T505" i="8"/>
  <c r="Q510" i="8"/>
  <c r="R510" i="8"/>
  <c r="T510" i="8"/>
  <c r="Q521" i="8"/>
  <c r="R521" i="8"/>
  <c r="T521" i="8"/>
  <c r="Q538" i="8"/>
  <c r="R538" i="8"/>
  <c r="T538" i="8"/>
  <c r="Q541" i="8"/>
  <c r="R541" i="8"/>
  <c r="T541" i="8"/>
  <c r="Q544" i="8"/>
  <c r="R544" i="8"/>
  <c r="T544" i="8"/>
  <c r="Q551" i="8"/>
  <c r="R551" i="8"/>
  <c r="T551" i="8"/>
  <c r="Q51" i="8"/>
  <c r="R51" i="8"/>
  <c r="T51" i="8"/>
  <c r="Q561" i="8"/>
  <c r="R561" i="8"/>
  <c r="T561" i="8"/>
  <c r="Q563" i="8"/>
  <c r="R563" i="8"/>
  <c r="T563" i="8"/>
  <c r="Q565" i="8"/>
  <c r="R565" i="8"/>
  <c r="T565" i="8"/>
  <c r="Q568" i="8"/>
  <c r="R568" i="8"/>
  <c r="T568" i="8"/>
  <c r="Q574" i="8"/>
  <c r="R574" i="8"/>
  <c r="T574" i="8"/>
  <c r="Q575" i="8"/>
  <c r="R575" i="8"/>
  <c r="T575" i="8"/>
  <c r="Q582" i="8"/>
  <c r="R582" i="8"/>
  <c r="T582" i="8"/>
  <c r="Q584" i="8"/>
  <c r="R584" i="8"/>
  <c r="T584" i="8"/>
  <c r="Q647" i="8"/>
  <c r="R647" i="8"/>
  <c r="T647" i="8"/>
  <c r="Q599" i="8"/>
  <c r="R599" i="8"/>
  <c r="T599" i="8"/>
  <c r="Q602" i="8"/>
  <c r="R602" i="8"/>
  <c r="T602" i="8"/>
  <c r="Q606" i="8"/>
  <c r="R606" i="8"/>
  <c r="T606" i="8"/>
  <c r="Q609" i="8"/>
  <c r="R609" i="8"/>
  <c r="T609" i="8"/>
  <c r="Q622" i="8"/>
  <c r="R622" i="8"/>
  <c r="T622" i="8"/>
  <c r="Q625" i="8"/>
  <c r="R625" i="8"/>
  <c r="T625" i="8"/>
  <c r="Q631" i="8"/>
  <c r="R631" i="8"/>
  <c r="T631" i="8"/>
  <c r="Q639" i="8"/>
  <c r="R639" i="8"/>
  <c r="T639" i="8"/>
  <c r="Q644" i="8"/>
  <c r="R644" i="8"/>
  <c r="T644" i="8"/>
  <c r="Q659" i="8"/>
  <c r="R659" i="8"/>
  <c r="T659" i="8"/>
  <c r="Q667" i="8"/>
  <c r="R667" i="8"/>
  <c r="T667" i="8"/>
  <c r="Q694" i="8"/>
  <c r="R694" i="8"/>
  <c r="T694" i="8"/>
  <c r="P714" i="8"/>
  <c r="Q714" i="8"/>
  <c r="R714" i="8"/>
  <c r="S714" i="8"/>
  <c r="T714" i="8"/>
  <c r="P715" i="8"/>
  <c r="Q715" i="8"/>
  <c r="R715" i="8"/>
  <c r="S715" i="8"/>
  <c r="T715" i="8"/>
  <c r="P716" i="8"/>
  <c r="Q716" i="8"/>
  <c r="R716" i="8"/>
  <c r="S716" i="8"/>
  <c r="T716" i="8"/>
  <c r="P717" i="8"/>
  <c r="Q717" i="8"/>
  <c r="R717" i="8"/>
  <c r="S717" i="8"/>
  <c r="T717" i="8"/>
  <c r="P718" i="8"/>
  <c r="Q718" i="8"/>
  <c r="R718" i="8"/>
  <c r="S718" i="8"/>
  <c r="T718" i="8"/>
  <c r="P719" i="8"/>
  <c r="Q719" i="8"/>
  <c r="R719" i="8"/>
  <c r="S719" i="8"/>
  <c r="T719" i="8"/>
  <c r="P720" i="8"/>
  <c r="Q720" i="8"/>
  <c r="R720" i="8"/>
  <c r="S720" i="8"/>
  <c r="T720" i="8"/>
  <c r="P721" i="8"/>
  <c r="Q721" i="8"/>
  <c r="R721" i="8"/>
  <c r="S721" i="8"/>
  <c r="T721" i="8"/>
  <c r="P722" i="8"/>
  <c r="Q722" i="8"/>
  <c r="R722" i="8"/>
  <c r="S722" i="8"/>
  <c r="T722" i="8"/>
  <c r="P723" i="8"/>
  <c r="Q723" i="8"/>
  <c r="R723" i="8"/>
  <c r="S723" i="8"/>
  <c r="T723" i="8"/>
  <c r="P724" i="8"/>
  <c r="Q724" i="8"/>
  <c r="R724" i="8"/>
  <c r="S724" i="8"/>
  <c r="T724" i="8"/>
  <c r="P725" i="8"/>
  <c r="Q725" i="8"/>
  <c r="R725" i="8"/>
  <c r="S725" i="8"/>
  <c r="T725" i="8"/>
  <c r="P726" i="8"/>
  <c r="Q726" i="8"/>
  <c r="R726" i="8"/>
  <c r="S726" i="8"/>
  <c r="T726" i="8"/>
  <c r="P727" i="8"/>
  <c r="Q727" i="8"/>
  <c r="R727" i="8"/>
  <c r="S727" i="8"/>
  <c r="T727" i="8"/>
  <c r="P728" i="8"/>
  <c r="Q728" i="8"/>
  <c r="R728" i="8"/>
  <c r="S728" i="8"/>
  <c r="T728" i="8"/>
  <c r="Q729" i="8"/>
  <c r="R729" i="8"/>
  <c r="S729" i="8"/>
  <c r="T729" i="8"/>
  <c r="Q730" i="8"/>
  <c r="R730" i="8"/>
  <c r="S730" i="8"/>
  <c r="T730" i="8"/>
  <c r="P731" i="8"/>
  <c r="Q731" i="8"/>
  <c r="R731" i="8"/>
  <c r="S731" i="8"/>
  <c r="T731" i="8"/>
  <c r="P732" i="8"/>
  <c r="Q732" i="8"/>
  <c r="R732" i="8"/>
  <c r="S732" i="8"/>
  <c r="T732" i="8"/>
  <c r="P733" i="8"/>
  <c r="Q733" i="8"/>
  <c r="R733" i="8"/>
  <c r="S733" i="8"/>
  <c r="T733" i="8"/>
  <c r="P734" i="8"/>
  <c r="Q734" i="8"/>
  <c r="R734" i="8"/>
  <c r="S734" i="8"/>
  <c r="T734" i="8"/>
  <c r="P735" i="8"/>
  <c r="Q735" i="8"/>
  <c r="R735" i="8"/>
  <c r="S735" i="8"/>
  <c r="T735" i="8"/>
  <c r="P736" i="8"/>
  <c r="Q736" i="8"/>
  <c r="R736" i="8"/>
  <c r="S736" i="8"/>
  <c r="T736" i="8"/>
  <c r="P737" i="8"/>
  <c r="Q737" i="8"/>
  <c r="R737" i="8"/>
  <c r="S737" i="8"/>
  <c r="T737" i="8"/>
  <c r="P738" i="8"/>
  <c r="Q738" i="8"/>
  <c r="R738" i="8"/>
  <c r="S738" i="8"/>
  <c r="T738" i="8"/>
  <c r="P739" i="8"/>
  <c r="Q739" i="8"/>
  <c r="R739" i="8"/>
  <c r="S739" i="8"/>
  <c r="T739" i="8"/>
  <c r="P740" i="8"/>
  <c r="Q740" i="8"/>
  <c r="R740" i="8"/>
  <c r="S740" i="8"/>
  <c r="T740" i="8"/>
  <c r="P741" i="8"/>
  <c r="Q741" i="8"/>
  <c r="R741" i="8"/>
  <c r="S741" i="8"/>
  <c r="T741" i="8"/>
  <c r="P742" i="8"/>
  <c r="Q742" i="8"/>
  <c r="R742" i="8"/>
  <c r="S742" i="8"/>
  <c r="T742" i="8"/>
  <c r="P743" i="8"/>
  <c r="Q743" i="8"/>
  <c r="R743" i="8"/>
  <c r="S743" i="8"/>
  <c r="T743" i="8"/>
  <c r="P744" i="8"/>
  <c r="Q744" i="8"/>
  <c r="R744" i="8"/>
  <c r="S744" i="8"/>
  <c r="T744" i="8"/>
  <c r="P745" i="8"/>
  <c r="Q745" i="8"/>
  <c r="R745" i="8"/>
  <c r="S745" i="8"/>
  <c r="T745" i="8"/>
  <c r="P746" i="8"/>
  <c r="Q746" i="8"/>
  <c r="R746" i="8"/>
  <c r="S746" i="8"/>
  <c r="T746" i="8"/>
  <c r="P747" i="8"/>
  <c r="Q747" i="8"/>
  <c r="R747" i="8"/>
  <c r="S747" i="8"/>
  <c r="T747" i="8"/>
  <c r="P748" i="8"/>
  <c r="Q748" i="8"/>
  <c r="R748" i="8"/>
  <c r="S748" i="8"/>
  <c r="T748" i="8"/>
  <c r="P144" i="8"/>
  <c r="P659" i="8" l="1"/>
  <c r="P363" i="8"/>
  <c r="P174" i="8" l="1"/>
  <c r="P170" i="8"/>
  <c r="P176" i="8" l="1"/>
  <c r="A3" i="37"/>
  <c r="Y17" i="37" s="1"/>
  <c r="H3" i="37"/>
  <c r="AF17" i="37" s="1"/>
  <c r="J2" i="37"/>
  <c r="J44" i="37" s="1"/>
  <c r="H2" i="37"/>
  <c r="H44" i="37" s="1"/>
  <c r="B2" i="37"/>
  <c r="Z30" i="37" s="1"/>
  <c r="H45" i="37"/>
  <c r="K44" i="37"/>
  <c r="A43" i="37"/>
  <c r="H31" i="37"/>
  <c r="T30" i="37"/>
  <c r="Y29" i="37"/>
  <c r="M29" i="37"/>
  <c r="A29" i="37"/>
  <c r="AF16" i="37"/>
  <c r="T16" i="37"/>
  <c r="Y15" i="37"/>
  <c r="M15" i="37"/>
  <c r="A15" i="37"/>
  <c r="F4" i="37"/>
  <c r="E4" i="37"/>
  <c r="D4" i="37"/>
  <c r="C4" i="37"/>
  <c r="Y1" i="37"/>
  <c r="M1" i="37"/>
  <c r="P178" i="8" l="1"/>
  <c r="T2" i="37"/>
  <c r="AF30" i="37"/>
  <c r="H16" i="37"/>
  <c r="N30" i="37"/>
  <c r="N2" i="37"/>
  <c r="B16" i="37"/>
  <c r="B30" i="37"/>
  <c r="H30" i="37"/>
  <c r="AF2" i="37"/>
  <c r="Z16" i="37"/>
  <c r="B44" i="37"/>
  <c r="Z2" i="37"/>
  <c r="N16" i="37"/>
  <c r="AC16" i="37"/>
  <c r="AF31" i="37"/>
  <c r="A24" i="37"/>
  <c r="T31" i="37"/>
  <c r="V16" i="37"/>
  <c r="AH2" i="37"/>
  <c r="AH30" i="37"/>
  <c r="AH16" i="37"/>
  <c r="V30" i="37"/>
  <c r="J30" i="37"/>
  <c r="V2" i="37"/>
  <c r="J16" i="37"/>
  <c r="M31" i="37"/>
  <c r="A31" i="37"/>
  <c r="Y31" i="37"/>
  <c r="A45" i="37"/>
  <c r="A21" i="37"/>
  <c r="M17" i="37"/>
  <c r="Y3" i="37"/>
  <c r="A17" i="37"/>
  <c r="M3" i="37"/>
  <c r="AF3" i="37"/>
  <c r="H17" i="37"/>
  <c r="T17" i="37"/>
  <c r="T3" i="37"/>
  <c r="O19" i="36"/>
  <c r="F19" i="36"/>
  <c r="P181" i="8" l="1"/>
  <c r="C12" i="36"/>
  <c r="I12" i="36"/>
  <c r="J12" i="36"/>
  <c r="Q12" i="36"/>
  <c r="X12" i="36"/>
  <c r="Y12" i="36"/>
  <c r="C13" i="36"/>
  <c r="I13" i="36"/>
  <c r="J13" i="36"/>
  <c r="Q13" i="36"/>
  <c r="X13" i="36"/>
  <c r="Y13" i="36"/>
  <c r="U16" i="36"/>
  <c r="E35" i="36"/>
  <c r="U25" i="36"/>
  <c r="U24" i="36"/>
  <c r="U23" i="36"/>
  <c r="U22" i="36"/>
  <c r="U21" i="36"/>
  <c r="U20" i="36"/>
  <c r="U18" i="36"/>
  <c r="U17" i="36"/>
  <c r="O15" i="36"/>
  <c r="J29" i="36" s="1"/>
  <c r="F15" i="36"/>
  <c r="Y11" i="36"/>
  <c r="X11" i="36"/>
  <c r="Q11" i="36"/>
  <c r="J11" i="36"/>
  <c r="I11" i="36"/>
  <c r="C11" i="36"/>
  <c r="Y10" i="36"/>
  <c r="X10" i="36"/>
  <c r="Q10" i="36"/>
  <c r="A38" i="37" s="1"/>
  <c r="J10" i="36"/>
  <c r="I10" i="36"/>
  <c r="C10" i="36"/>
  <c r="Y9" i="36"/>
  <c r="X9" i="36"/>
  <c r="Q9" i="36"/>
  <c r="J9" i="36"/>
  <c r="I9" i="36"/>
  <c r="C9" i="36"/>
  <c r="W6" i="36"/>
  <c r="V7" i="38" s="1"/>
  <c r="P182" i="8" l="1"/>
  <c r="CE1" i="36"/>
  <c r="CD1" i="36"/>
  <c r="A39" i="37"/>
  <c r="A53" i="37" s="1"/>
  <c r="M11" i="37"/>
  <c r="P67" i="8"/>
  <c r="W6" i="23"/>
  <c r="V7" i="25"/>
  <c r="Y24" i="37"/>
  <c r="M38" i="37"/>
  <c r="A10" i="37"/>
  <c r="M24" i="37"/>
  <c r="Y38" i="37"/>
  <c r="Y39" i="37"/>
  <c r="M25" i="37"/>
  <c r="A11" i="37"/>
  <c r="Y25" i="37"/>
  <c r="Y11" i="37"/>
  <c r="M39" i="37"/>
  <c r="AZ10" i="36"/>
  <c r="B4" i="37"/>
  <c r="M21" i="37"/>
  <c r="M35" i="37"/>
  <c r="M36" i="37"/>
  <c r="M8" i="37"/>
  <c r="M22" i="37"/>
  <c r="Y35" i="37"/>
  <c r="A35" i="37"/>
  <c r="A7" i="37"/>
  <c r="Y21" i="37"/>
  <c r="Y22" i="37"/>
  <c r="A50" i="37" s="1"/>
  <c r="A8" i="37"/>
  <c r="Y36" i="37"/>
  <c r="A36" i="37"/>
  <c r="Y8" i="37"/>
  <c r="F23" i="36"/>
  <c r="M7" i="37"/>
  <c r="F18" i="36"/>
  <c r="Y7" i="37"/>
  <c r="BJ5" i="36"/>
  <c r="Y10" i="37"/>
  <c r="O22" i="36"/>
  <c r="M10" i="37"/>
  <c r="F25" i="36"/>
  <c r="O35" i="36"/>
  <c r="AZ6" i="36"/>
  <c r="F20" i="36"/>
  <c r="F22" i="36"/>
  <c r="O25" i="36"/>
  <c r="F17" i="36"/>
  <c r="O21" i="36"/>
  <c r="F16" i="36"/>
  <c r="BJ4" i="36"/>
  <c r="F24" i="36"/>
  <c r="O24" i="36"/>
  <c r="O20" i="36"/>
  <c r="BJ3" i="36"/>
  <c r="O16" i="36"/>
  <c r="AZ18" i="36"/>
  <c r="AZ11" i="36"/>
  <c r="AZ5" i="36"/>
  <c r="AZ19" i="36"/>
  <c r="AZ20" i="36"/>
  <c r="AZ16" i="36"/>
  <c r="AZ15" i="36"/>
  <c r="AZ13" i="36"/>
  <c r="AZ9" i="36"/>
  <c r="AZ7" i="36"/>
  <c r="AZ21" i="36"/>
  <c r="AZ17" i="36"/>
  <c r="AZ12" i="36"/>
  <c r="AZ8" i="36"/>
  <c r="AZ4" i="36"/>
  <c r="AZ14" i="36"/>
  <c r="BJ7" i="36"/>
  <c r="O18" i="36"/>
  <c r="O23" i="36"/>
  <c r="BJ8" i="36"/>
  <c r="O17" i="36"/>
  <c r="J30" i="36"/>
  <c r="BJ6" i="36"/>
  <c r="F21" i="36"/>
  <c r="P184" i="8" l="1"/>
  <c r="L21" i="36"/>
  <c r="L18" i="36"/>
  <c r="L23" i="36"/>
  <c r="L22" i="36"/>
  <c r="L24" i="36"/>
  <c r="L17" i="36"/>
  <c r="L20" i="36"/>
  <c r="L25" i="36"/>
  <c r="L19" i="36"/>
  <c r="N19" i="36" s="1"/>
  <c r="L16" i="36"/>
  <c r="P186" i="8" l="1"/>
  <c r="N25" i="36"/>
  <c r="N22" i="36"/>
  <c r="N20" i="36"/>
  <c r="N23" i="36"/>
  <c r="N16" i="36"/>
  <c r="N17" i="36"/>
  <c r="N18" i="36"/>
  <c r="N24" i="36"/>
  <c r="N21" i="36"/>
  <c r="L26" i="36"/>
  <c r="CL1" i="36" s="1"/>
  <c r="P187" i="8" l="1"/>
  <c r="N26" i="36"/>
  <c r="P188" i="8" l="1"/>
  <c r="H29" i="36"/>
  <c r="CM1" i="36"/>
  <c r="A29" i="36"/>
  <c r="H30" i="36"/>
  <c r="A30" i="36"/>
  <c r="P189" i="8" l="1"/>
  <c r="A31" i="36"/>
  <c r="A32" i="36"/>
  <c r="W7" i="34"/>
  <c r="P192" i="8" l="1"/>
  <c r="T17" i="35"/>
  <c r="M17" i="35"/>
  <c r="H17" i="35"/>
  <c r="A17" i="35"/>
  <c r="W16" i="35"/>
  <c r="T16" i="35"/>
  <c r="N16" i="35"/>
  <c r="K16" i="35"/>
  <c r="H16" i="35"/>
  <c r="B16" i="35"/>
  <c r="M15" i="35"/>
  <c r="A15" i="35"/>
  <c r="F4" i="35"/>
  <c r="E4" i="35"/>
  <c r="D4" i="35"/>
  <c r="C4" i="35"/>
  <c r="AF3" i="35"/>
  <c r="Y3" i="35"/>
  <c r="T3" i="35"/>
  <c r="M3" i="35"/>
  <c r="H3" i="35"/>
  <c r="A3" i="35"/>
  <c r="AI2" i="35"/>
  <c r="AF2" i="35"/>
  <c r="AC2" i="35"/>
  <c r="W2" i="35"/>
  <c r="T2" i="35"/>
  <c r="N2" i="35"/>
  <c r="K2" i="35"/>
  <c r="H2" i="35"/>
  <c r="B2" i="35"/>
  <c r="Y1" i="35"/>
  <c r="M1" i="35"/>
  <c r="F34" i="34"/>
  <c r="U21" i="34"/>
  <c r="U20" i="34"/>
  <c r="U19" i="34"/>
  <c r="U18" i="34"/>
  <c r="U17" i="34"/>
  <c r="O16" i="34"/>
  <c r="J28" i="34" s="1"/>
  <c r="F16" i="34"/>
  <c r="J30" i="34" s="1"/>
  <c r="P193" i="8" l="1"/>
  <c r="BW1" i="34"/>
  <c r="BV1" i="34"/>
  <c r="B4" i="35"/>
  <c r="Z4" i="35" s="1"/>
  <c r="O34" i="34"/>
  <c r="BI18" i="34"/>
  <c r="BI11" i="34"/>
  <c r="BI13" i="34"/>
  <c r="BI12" i="34"/>
  <c r="BI14" i="34"/>
  <c r="BI16" i="34"/>
  <c r="BI15" i="34"/>
  <c r="BI17" i="34"/>
  <c r="P196" i="8" l="1"/>
  <c r="P194" i="8"/>
  <c r="N4" i="35"/>
  <c r="N18" i="35"/>
  <c r="B18" i="35"/>
  <c r="Y12" i="31" l="1"/>
  <c r="Y13" i="31"/>
  <c r="C13" i="31"/>
  <c r="M22" i="32" s="1"/>
  <c r="J12" i="31"/>
  <c r="Q13" i="31" l="1"/>
  <c r="M25" i="32" s="1"/>
  <c r="X13" i="31"/>
  <c r="X12" i="31"/>
  <c r="I12" i="31"/>
  <c r="C12" i="31"/>
  <c r="M21" i="32" s="1"/>
  <c r="I13" i="31"/>
  <c r="J13" i="31"/>
  <c r="Q12" i="31"/>
  <c r="M24" i="32" s="1"/>
  <c r="F34" i="31" l="1"/>
  <c r="Y11" i="31"/>
  <c r="X11" i="31"/>
  <c r="A25" i="32" s="1"/>
  <c r="Q11" i="31"/>
  <c r="J11" i="31"/>
  <c r="I11" i="31"/>
  <c r="Y8" i="32" s="1"/>
  <c r="C11" i="31"/>
  <c r="C26" i="32" s="1"/>
  <c r="Y10" i="31"/>
  <c r="X10" i="31"/>
  <c r="A11" i="32" s="1"/>
  <c r="Q10" i="31"/>
  <c r="O12" i="32" s="1"/>
  <c r="J10" i="31"/>
  <c r="I10" i="31"/>
  <c r="A22" i="32" s="1"/>
  <c r="C10" i="31"/>
  <c r="A7" i="32" s="1"/>
  <c r="A21" i="32" s="1"/>
  <c r="T17" i="32"/>
  <c r="M17" i="32"/>
  <c r="H17" i="32"/>
  <c r="A17" i="32"/>
  <c r="W16" i="32"/>
  <c r="T16" i="32"/>
  <c r="N16" i="32"/>
  <c r="K16" i="32"/>
  <c r="H16" i="32"/>
  <c r="B16" i="32"/>
  <c r="M15" i="32"/>
  <c r="A15" i="32"/>
  <c r="F4" i="32"/>
  <c r="E4" i="32"/>
  <c r="D4" i="32"/>
  <c r="C4" i="32"/>
  <c r="AF3" i="32"/>
  <c r="Y3" i="32"/>
  <c r="T3" i="32"/>
  <c r="M3" i="32"/>
  <c r="H3" i="32"/>
  <c r="A3" i="32"/>
  <c r="AI2" i="32"/>
  <c r="AF2" i="32"/>
  <c r="AC2" i="32"/>
  <c r="W2" i="32"/>
  <c r="T2" i="32"/>
  <c r="N2" i="32"/>
  <c r="K2" i="32"/>
  <c r="H2" i="32"/>
  <c r="B2" i="32"/>
  <c r="Y1" i="32"/>
  <c r="M1" i="32"/>
  <c r="U21" i="31"/>
  <c r="U20" i="31"/>
  <c r="U19" i="31"/>
  <c r="U18" i="31"/>
  <c r="U17" i="31"/>
  <c r="O16" i="31"/>
  <c r="F16" i="31"/>
  <c r="J30" i="31" l="1"/>
  <c r="O34" i="31"/>
  <c r="B4" i="32"/>
  <c r="B18" i="32" s="1"/>
  <c r="CD1" i="31"/>
  <c r="CE1" i="31"/>
  <c r="J28" i="31"/>
  <c r="O18" i="31"/>
  <c r="A10" i="32"/>
  <c r="O20" i="31"/>
  <c r="BF41" i="31"/>
  <c r="BM12" i="31"/>
  <c r="BM14" i="31"/>
  <c r="BM13" i="31"/>
  <c r="BM11" i="31"/>
  <c r="BM18" i="31"/>
  <c r="Y7" i="32"/>
  <c r="M11" i="32"/>
  <c r="AA12" i="32"/>
  <c r="O17" i="31"/>
  <c r="F18" i="31"/>
  <c r="BM17" i="31"/>
  <c r="O21" i="31"/>
  <c r="BF42" i="31"/>
  <c r="A8" i="32"/>
  <c r="M10" i="32"/>
  <c r="A24" i="32" s="1"/>
  <c r="Y11" i="32"/>
  <c r="F17" i="31"/>
  <c r="BM16" i="31"/>
  <c r="F21" i="31"/>
  <c r="BF39" i="31"/>
  <c r="M8" i="32"/>
  <c r="Y10" i="32"/>
  <c r="C12" i="32"/>
  <c r="BM15" i="31"/>
  <c r="F20" i="31"/>
  <c r="BF40" i="31"/>
  <c r="M7" i="32"/>
  <c r="O19" i="31" l="1"/>
  <c r="N18" i="32"/>
  <c r="N4" i="32"/>
  <c r="Z4" i="32"/>
  <c r="F19" i="31"/>
  <c r="L21" i="31"/>
  <c r="N21" i="31" s="1"/>
  <c r="L18" i="31"/>
  <c r="N18" i="31" s="1"/>
  <c r="L20" i="31"/>
  <c r="N20" i="31" s="1"/>
  <c r="L17" i="31"/>
  <c r="L19" i="31" l="1"/>
  <c r="N19" i="31" s="1"/>
  <c r="N17" i="31"/>
  <c r="N23" i="31" l="1"/>
  <c r="CM1" i="31" s="1"/>
  <c r="L23" i="31"/>
  <c r="CL1" i="31" s="1"/>
  <c r="H28" i="31" l="1"/>
  <c r="A28" i="31"/>
  <c r="A29" i="31"/>
  <c r="H29" i="31"/>
  <c r="A30" i="31" l="1"/>
  <c r="A31" i="31"/>
  <c r="E28" i="31"/>
  <c r="H45" i="30"/>
  <c r="A45" i="30"/>
  <c r="K44" i="30"/>
  <c r="H44" i="30"/>
  <c r="AF31" i="30"/>
  <c r="Y31" i="30"/>
  <c r="T31" i="30"/>
  <c r="M31" i="30"/>
  <c r="H31" i="30"/>
  <c r="A31" i="30"/>
  <c r="AI30" i="30"/>
  <c r="AF30" i="30"/>
  <c r="W30" i="30"/>
  <c r="T30" i="30"/>
  <c r="K30" i="30"/>
  <c r="H30" i="30"/>
  <c r="AF17" i="30"/>
  <c r="Y17" i="30"/>
  <c r="T17" i="30"/>
  <c r="M17" i="30"/>
  <c r="H17" i="30"/>
  <c r="A17" i="30"/>
  <c r="AI16" i="30"/>
  <c r="AF16" i="30"/>
  <c r="W16" i="30"/>
  <c r="T16" i="30"/>
  <c r="N16" i="30"/>
  <c r="K16" i="30"/>
  <c r="H16" i="30"/>
  <c r="AF3" i="30"/>
  <c r="Y3" i="30"/>
  <c r="T3" i="30"/>
  <c r="M3" i="30"/>
  <c r="H3" i="30"/>
  <c r="A3" i="30"/>
  <c r="AI2" i="30"/>
  <c r="AF2" i="30"/>
  <c r="AC2" i="30"/>
  <c r="W2" i="30"/>
  <c r="T2" i="30"/>
  <c r="K2" i="30"/>
  <c r="H2" i="30"/>
  <c r="B2" i="30"/>
  <c r="Z30" i="30" s="1"/>
  <c r="A43" i="30"/>
  <c r="Y29" i="30"/>
  <c r="M29" i="30"/>
  <c r="A29" i="30"/>
  <c r="Y15" i="30"/>
  <c r="M15" i="30"/>
  <c r="A15" i="30"/>
  <c r="F4" i="30"/>
  <c r="E4" i="30"/>
  <c r="D4" i="30"/>
  <c r="C4" i="30"/>
  <c r="Y1" i="30"/>
  <c r="M1" i="30"/>
  <c r="F4" i="28"/>
  <c r="E4" i="28"/>
  <c r="D4" i="28"/>
  <c r="C4" i="28"/>
  <c r="H45" i="28"/>
  <c r="A45" i="28"/>
  <c r="K44" i="28"/>
  <c r="H44" i="28"/>
  <c r="B44" i="28"/>
  <c r="AF31" i="28"/>
  <c r="Y31" i="28"/>
  <c r="T31" i="28"/>
  <c r="M31" i="28"/>
  <c r="H31" i="28"/>
  <c r="A31" i="28"/>
  <c r="AI30" i="28"/>
  <c r="AF30" i="28"/>
  <c r="AC30" i="28"/>
  <c r="W30" i="28"/>
  <c r="T30" i="28"/>
  <c r="N30" i="28"/>
  <c r="K30" i="28"/>
  <c r="H30" i="28"/>
  <c r="B30" i="28"/>
  <c r="AF17" i="28"/>
  <c r="Y17" i="28"/>
  <c r="T17" i="28"/>
  <c r="M17" i="28"/>
  <c r="H17" i="28"/>
  <c r="A17" i="28"/>
  <c r="AI16" i="28"/>
  <c r="AF16" i="28"/>
  <c r="AC16" i="28"/>
  <c r="W16" i="28"/>
  <c r="T16" i="28"/>
  <c r="N16" i="28"/>
  <c r="K16" i="28"/>
  <c r="H16" i="28"/>
  <c r="B16" i="28"/>
  <c r="AF3" i="28"/>
  <c r="Y3" i="28"/>
  <c r="T3" i="28"/>
  <c r="M3" i="28"/>
  <c r="H3" i="28"/>
  <c r="A3" i="28"/>
  <c r="AI2" i="28"/>
  <c r="AF2" i="28"/>
  <c r="AC2" i="28"/>
  <c r="W2" i="28"/>
  <c r="T2" i="28"/>
  <c r="N2" i="28"/>
  <c r="K2" i="28"/>
  <c r="H2" i="28"/>
  <c r="B2" i="28"/>
  <c r="A43" i="28"/>
  <c r="Y29" i="28"/>
  <c r="M29" i="28"/>
  <c r="A29" i="28"/>
  <c r="Y15" i="28"/>
  <c r="M15" i="28"/>
  <c r="A15" i="28"/>
  <c r="Y1" i="28"/>
  <c r="M1" i="28"/>
  <c r="CO1" i="31" l="1"/>
  <c r="CS1" i="31"/>
  <c r="CP1" i="31"/>
  <c r="B44" i="30"/>
  <c r="B30" i="30"/>
  <c r="Z16" i="30"/>
  <c r="N2" i="30"/>
  <c r="Z2" i="30"/>
  <c r="N30" i="30"/>
  <c r="B16" i="30"/>
  <c r="CR1" i="31" l="1"/>
  <c r="F43" i="25"/>
  <c r="U31" i="25"/>
  <c r="U30" i="25"/>
  <c r="U29" i="25"/>
  <c r="U28" i="25"/>
  <c r="U27" i="25"/>
  <c r="U21" i="25"/>
  <c r="U20" i="25"/>
  <c r="U19" i="25"/>
  <c r="U18" i="25"/>
  <c r="U17" i="25"/>
  <c r="O16" i="25"/>
  <c r="O26" i="25" s="1"/>
  <c r="F16" i="25"/>
  <c r="J38" i="25" s="1"/>
  <c r="Y13" i="25"/>
  <c r="X13" i="25"/>
  <c r="Q13" i="25"/>
  <c r="J13" i="25"/>
  <c r="I13" i="25"/>
  <c r="C13" i="25"/>
  <c r="Y12" i="25"/>
  <c r="X12" i="25"/>
  <c r="Q12" i="25"/>
  <c r="J12" i="25"/>
  <c r="I12" i="25"/>
  <c r="C12" i="25"/>
  <c r="Y11" i="25"/>
  <c r="X11" i="25"/>
  <c r="Q11" i="25"/>
  <c r="J11" i="25"/>
  <c r="I11" i="25"/>
  <c r="C11" i="25"/>
  <c r="Y10" i="25"/>
  <c r="X10" i="25"/>
  <c r="Q10" i="25"/>
  <c r="J10" i="25"/>
  <c r="I10" i="25"/>
  <c r="C10" i="25"/>
  <c r="B4" i="30" l="1"/>
  <c r="B32" i="30" s="1"/>
  <c r="CE1" i="25"/>
  <c r="CD1" i="25"/>
  <c r="Y21" i="30"/>
  <c r="A49" i="30" s="1"/>
  <c r="AA40" i="30"/>
  <c r="M35" i="30"/>
  <c r="A8" i="30"/>
  <c r="A22" i="30"/>
  <c r="A50" i="30"/>
  <c r="Y22" i="30"/>
  <c r="M21" i="30"/>
  <c r="A7" i="30"/>
  <c r="A21" i="30" s="1"/>
  <c r="AA12" i="30"/>
  <c r="C26" i="30"/>
  <c r="M7" i="30"/>
  <c r="Y7" i="30"/>
  <c r="M22" i="30"/>
  <c r="C54" i="30"/>
  <c r="M36" i="30"/>
  <c r="A35" i="30"/>
  <c r="Y35" i="30" s="1"/>
  <c r="Y8" i="30"/>
  <c r="M8" i="30"/>
  <c r="A36" i="30"/>
  <c r="Y36" i="30"/>
  <c r="A11" i="30"/>
  <c r="Y11" i="30"/>
  <c r="Y39" i="30"/>
  <c r="Y25" i="30"/>
  <c r="M10" i="30"/>
  <c r="A24" i="30" s="1"/>
  <c r="M25" i="30"/>
  <c r="C12" i="30"/>
  <c r="M39" i="30"/>
  <c r="AA26" i="30"/>
  <c r="A38" i="30"/>
  <c r="A52" i="30" s="1"/>
  <c r="M11" i="30"/>
  <c r="A25" i="30"/>
  <c r="A39" i="30"/>
  <c r="A53" i="30"/>
  <c r="A10" i="30"/>
  <c r="O12" i="30"/>
  <c r="Y10" i="30"/>
  <c r="M24" i="30"/>
  <c r="C40" i="30"/>
  <c r="M38" i="30"/>
  <c r="Y24" i="30"/>
  <c r="Y38" i="30" s="1"/>
  <c r="BJ44" i="25"/>
  <c r="BJ46" i="25"/>
  <c r="O17" i="25"/>
  <c r="O27" i="25"/>
  <c r="BJ39" i="25"/>
  <c r="F31" i="25"/>
  <c r="BJ40" i="25"/>
  <c r="BJ42" i="25"/>
  <c r="BP19" i="25"/>
  <c r="O43" i="25"/>
  <c r="F17" i="25"/>
  <c r="F20" i="25"/>
  <c r="O18" i="25"/>
  <c r="O28" i="25"/>
  <c r="O20" i="25"/>
  <c r="BJ43" i="25"/>
  <c r="BP18" i="25"/>
  <c r="BP14" i="25"/>
  <c r="BP24" i="25"/>
  <c r="BP17" i="25"/>
  <c r="BP20" i="25"/>
  <c r="BP21" i="25"/>
  <c r="BP23" i="25"/>
  <c r="BP25" i="25"/>
  <c r="BP26" i="25"/>
  <c r="O30" i="25"/>
  <c r="J37" i="25"/>
  <c r="BJ41" i="25"/>
  <c r="BJ45" i="25"/>
  <c r="F26" i="25"/>
  <c r="F27" i="25"/>
  <c r="O19" i="25"/>
  <c r="BP22" i="25"/>
  <c r="F28" i="25"/>
  <c r="BP11" i="25"/>
  <c r="BP12" i="25"/>
  <c r="BP13" i="25"/>
  <c r="BP15" i="25"/>
  <c r="BP16" i="25"/>
  <c r="F19" i="25"/>
  <c r="F18" i="25"/>
  <c r="F30" i="25"/>
  <c r="O31" i="25"/>
  <c r="N18" i="30" l="1"/>
  <c r="B18" i="30"/>
  <c r="B46" i="30"/>
  <c r="N32" i="30"/>
  <c r="Z4" i="30"/>
  <c r="N4" i="30"/>
  <c r="Z18" i="30"/>
  <c r="Z32" i="30"/>
  <c r="L27" i="25"/>
  <c r="N27" i="25" s="1"/>
  <c r="O29" i="25"/>
  <c r="L31" i="25"/>
  <c r="N31" i="25" s="1"/>
  <c r="L17" i="25"/>
  <c r="N17" i="25" s="1"/>
  <c r="O21" i="25"/>
  <c r="L19" i="25"/>
  <c r="L30" i="25"/>
  <c r="N30" i="25" s="1"/>
  <c r="L20" i="25"/>
  <c r="L18" i="25"/>
  <c r="L28" i="25"/>
  <c r="N28" i="25" s="1"/>
  <c r="F29" i="25"/>
  <c r="F21" i="25"/>
  <c r="F43" i="23"/>
  <c r="U31" i="23"/>
  <c r="U30" i="23"/>
  <c r="U29" i="23"/>
  <c r="U28" i="23"/>
  <c r="U27" i="23"/>
  <c r="U21" i="23"/>
  <c r="U20" i="23"/>
  <c r="U19" i="23"/>
  <c r="U18" i="23"/>
  <c r="U17" i="23"/>
  <c r="O16" i="23"/>
  <c r="F16" i="23"/>
  <c r="CE1" i="23" l="1"/>
  <c r="CD1" i="23"/>
  <c r="B4" i="28"/>
  <c r="B32" i="28" s="1"/>
  <c r="N19" i="25"/>
  <c r="N18" i="25"/>
  <c r="N20" i="25"/>
  <c r="L29" i="25"/>
  <c r="N29" i="25" s="1"/>
  <c r="N33" i="25" s="1"/>
  <c r="L21" i="25"/>
  <c r="N21" i="25" s="1"/>
  <c r="BF26" i="23"/>
  <c r="J37" i="23"/>
  <c r="O43" i="23"/>
  <c r="BF18" i="23"/>
  <c r="BF19" i="23"/>
  <c r="BF14" i="23"/>
  <c r="BF24" i="23"/>
  <c r="F26" i="23"/>
  <c r="J38" i="23"/>
  <c r="BF17" i="23"/>
  <c r="BF22" i="23"/>
  <c r="O26" i="23"/>
  <c r="BF11" i="23"/>
  <c r="BF12" i="23"/>
  <c r="BF13" i="23"/>
  <c r="BF15" i="23"/>
  <c r="BF16" i="23"/>
  <c r="BF20" i="23"/>
  <c r="BF21" i="23"/>
  <c r="BF23" i="23"/>
  <c r="BF25" i="23"/>
  <c r="N4" i="28" l="1"/>
  <c r="B18" i="28"/>
  <c r="Z4" i="28"/>
  <c r="N18" i="28"/>
  <c r="Z18" i="28"/>
  <c r="Z32" i="28"/>
  <c r="B46" i="28"/>
  <c r="N32" i="28"/>
  <c r="B32" i="37"/>
  <c r="B46" i="37"/>
  <c r="Z18" i="37"/>
  <c r="Z4" i="37"/>
  <c r="N32" i="37"/>
  <c r="B18" i="37"/>
  <c r="Z32" i="37"/>
  <c r="N18" i="37"/>
  <c r="N4" i="37"/>
  <c r="N23" i="25"/>
  <c r="CM1" i="25" s="1"/>
  <c r="L33" i="25"/>
  <c r="L23" i="25"/>
  <c r="H38" i="25" l="1"/>
  <c r="A38" i="25"/>
  <c r="CL1" i="25"/>
  <c r="H37" i="25"/>
  <c r="A37" i="25"/>
  <c r="A40" i="25" l="1"/>
  <c r="E37" i="25" s="1"/>
  <c r="A39" i="25"/>
  <c r="R4" i="8" l="1"/>
  <c r="T4" i="8" l="1"/>
  <c r="Q4" i="8"/>
  <c r="T2" i="8" l="1"/>
  <c r="S2" i="8" s="1"/>
  <c r="R2" i="8" s="1"/>
  <c r="Q2" i="8" l="1"/>
  <c r="P2" i="8" s="1"/>
  <c r="A52" i="37" l="1"/>
  <c r="A49" i="37"/>
  <c r="P364" i="8" l="1"/>
  <c r="P366" i="8"/>
  <c r="P368" i="8"/>
  <c r="P369" i="8"/>
  <c r="P145" i="8" l="1"/>
  <c r="P146" i="8" l="1"/>
  <c r="P147" i="8" l="1"/>
  <c r="P148" i="8" l="1"/>
  <c r="P149" i="8" l="1"/>
  <c r="P150" i="8" l="1"/>
  <c r="P151" i="8"/>
  <c r="P152" i="8" l="1"/>
  <c r="P153" i="8" l="1"/>
  <c r="P154" i="8" l="1"/>
  <c r="P155" i="8" l="1"/>
  <c r="P157" i="8" l="1"/>
  <c r="P158" i="8" l="1"/>
  <c r="P159" i="8" l="1"/>
  <c r="P373" i="8" l="1"/>
  <c r="P374" i="8" l="1"/>
  <c r="P161" i="8" l="1"/>
  <c r="P335" i="8" l="1"/>
  <c r="P464" i="8" l="1"/>
  <c r="P466" i="8" l="1"/>
  <c r="P467" i="8"/>
  <c r="S699" i="8" l="1"/>
  <c r="S491" i="8"/>
  <c r="S241" i="8"/>
  <c r="S107" i="8"/>
  <c r="S713" i="8"/>
  <c r="S698" i="8"/>
  <c r="S325" i="8"/>
  <c r="S205" i="8"/>
  <c r="S472" i="8"/>
  <c r="S53" i="8"/>
  <c r="S324" i="8"/>
  <c r="S39" i="8"/>
  <c r="S109" i="8"/>
  <c r="S669" i="8"/>
  <c r="S106" i="8"/>
  <c r="S705" i="8"/>
  <c r="S613" i="8"/>
  <c r="S160" i="8"/>
  <c r="S515" i="8"/>
  <c r="S250" i="8"/>
  <c r="S260" i="8"/>
  <c r="S506" i="8"/>
  <c r="S532" i="8"/>
  <c r="S539" i="8"/>
  <c r="S195" i="8"/>
  <c r="S645" i="8"/>
  <c r="S102" i="8"/>
  <c r="S115" i="8"/>
  <c r="S124" i="8"/>
  <c r="S111" i="8"/>
  <c r="S464" i="8"/>
  <c r="S134" i="8"/>
  <c r="S183" i="8"/>
  <c r="S163" i="8"/>
  <c r="S531" i="8"/>
  <c r="S222" i="8"/>
  <c r="S490" i="8"/>
  <c r="S286" i="8"/>
  <c r="S689" i="8"/>
  <c r="S533" i="8"/>
  <c r="S485" i="8"/>
  <c r="S421" i="8"/>
  <c r="S625" i="8"/>
  <c r="S158" i="8"/>
  <c r="S582" i="8"/>
  <c r="S26" i="8"/>
  <c r="S418" i="8"/>
  <c r="S659" i="8"/>
  <c r="S474" i="8"/>
  <c r="S667" i="8"/>
  <c r="S473" i="8"/>
  <c r="S351" i="8"/>
  <c r="S148" i="8"/>
  <c r="S35" i="8"/>
  <c r="S631" i="8"/>
  <c r="S639" i="8"/>
  <c r="S694" i="8"/>
  <c r="S139" i="8"/>
  <c r="S173" i="8"/>
  <c r="S467" i="8"/>
  <c r="S568" i="8"/>
  <c r="S521" i="8"/>
  <c r="S162" i="8"/>
  <c r="S425" i="8"/>
  <c r="S606" i="8"/>
  <c r="S441" i="8"/>
  <c r="S481" i="8"/>
  <c r="S510" i="8"/>
  <c r="S438" i="8"/>
  <c r="S144" i="8"/>
  <c r="S169" i="8"/>
  <c r="S538" i="8"/>
  <c r="S466" i="8"/>
  <c r="S599" i="8"/>
  <c r="S121" i="8"/>
  <c r="S51" i="8"/>
  <c r="S157" i="8"/>
  <c r="S36" i="8"/>
  <c r="S390" i="8"/>
  <c r="S567" i="8"/>
  <c r="S514" i="8"/>
  <c r="S598" i="8"/>
  <c r="S223" i="8"/>
  <c r="S708" i="8"/>
  <c r="S76" i="8"/>
  <c r="S276" i="8"/>
  <c r="S591" i="8"/>
  <c r="S235" i="8"/>
  <c r="S419" i="8"/>
  <c r="S82" i="8"/>
  <c r="S171" i="8"/>
  <c r="S424" i="8"/>
  <c r="S709" i="8"/>
  <c r="S488" i="8"/>
  <c r="S90" i="8"/>
  <c r="S417" i="8"/>
  <c r="S430" i="8"/>
  <c r="S308" i="8"/>
  <c r="S150" i="8"/>
  <c r="S571" i="8"/>
  <c r="S126" i="8"/>
  <c r="S208" i="8"/>
  <c r="S301" i="8"/>
  <c r="S352" i="8"/>
  <c r="S558" i="8"/>
  <c r="S526" i="8"/>
  <c r="S149" i="8"/>
  <c r="S601" i="8"/>
  <c r="S348" i="8"/>
  <c r="S395" i="8"/>
  <c r="S131" i="8"/>
  <c r="S153" i="8"/>
  <c r="S231" i="8"/>
  <c r="S251" i="8"/>
  <c r="S560" i="8"/>
  <c r="S70" i="8"/>
  <c r="S529" i="8"/>
  <c r="S23" i="8"/>
  <c r="S132" i="8"/>
  <c r="S335" i="8"/>
  <c r="S695" i="8"/>
  <c r="S597" i="8"/>
  <c r="S64" i="8"/>
  <c r="S159" i="8"/>
  <c r="S512" i="8"/>
  <c r="S161" i="8"/>
  <c r="S565" i="8"/>
  <c r="S71" i="8"/>
  <c r="S145" i="8"/>
  <c r="S147" i="8"/>
  <c r="S388" i="8"/>
  <c r="S319" i="8"/>
  <c r="S374" i="8"/>
  <c r="S87" i="8"/>
  <c r="S243" i="8"/>
  <c r="S644" i="8"/>
  <c r="S67" i="8"/>
  <c r="S284" i="8"/>
  <c r="S382" i="8"/>
  <c r="S477" i="8"/>
  <c r="S89" i="8"/>
  <c r="S61" i="8"/>
  <c r="S30" i="8"/>
  <c r="S413" i="8"/>
  <c r="S142" i="8"/>
  <c r="S544" i="8"/>
  <c r="S459" i="8"/>
  <c r="S439" i="8"/>
  <c r="S88" i="8"/>
  <c r="S48" i="8"/>
  <c r="S584" i="8"/>
  <c r="S101" i="8"/>
  <c r="S172" i="8"/>
  <c r="S152" i="8"/>
  <c r="S302" i="8"/>
  <c r="S49" i="8"/>
  <c r="S93" i="8"/>
  <c r="S575" i="8"/>
  <c r="S470" i="8"/>
  <c r="S245" i="8"/>
  <c r="S120" i="8"/>
  <c r="S108" i="8"/>
  <c r="S440" i="8"/>
  <c r="S368" i="8"/>
  <c r="S151" i="8"/>
  <c r="S563" i="8"/>
  <c r="S72" i="8"/>
  <c r="S55" i="8"/>
  <c r="S37" i="8"/>
  <c r="S505" i="8"/>
  <c r="S83" i="8"/>
  <c r="S480" i="8"/>
  <c r="S423" i="8"/>
  <c r="S561" i="8"/>
  <c r="S5" i="8"/>
  <c r="S363" i="8"/>
  <c r="S141" i="8"/>
  <c r="S377" i="8"/>
  <c r="S364" i="8"/>
  <c r="S504" i="8"/>
  <c r="S492" i="8"/>
  <c r="S471" i="8" l="1"/>
  <c r="S405" i="8"/>
  <c r="S25" i="8"/>
  <c r="S14" i="8"/>
  <c r="S581" i="8"/>
  <c r="S94" i="8"/>
  <c r="S384" i="8"/>
  <c r="S551" i="8"/>
  <c r="S602" i="8"/>
  <c r="S462" i="8"/>
  <c r="S369" i="8"/>
  <c r="S154" i="8"/>
  <c r="S100" i="8"/>
  <c r="S373" i="8"/>
  <c r="S574" i="8"/>
  <c r="S592" i="8"/>
  <c r="S146" i="8"/>
  <c r="S609" i="8"/>
  <c r="S366" i="8"/>
  <c r="S103" i="8"/>
  <c r="S420" i="8"/>
  <c r="S406" i="8"/>
  <c r="S327" i="8"/>
  <c r="S541" i="8"/>
  <c r="S104" i="8"/>
  <c r="S112" i="8"/>
  <c r="S155" i="8"/>
  <c r="S381" i="8"/>
  <c r="S232" i="8"/>
  <c r="S647" i="8"/>
  <c r="S4" i="8"/>
  <c r="S389" i="8"/>
  <c r="S10" i="8"/>
  <c r="S50" i="8"/>
  <c r="S622" i="8"/>
  <c r="S495" i="8"/>
  <c r="P470" i="8" l="1"/>
  <c r="P471" i="8"/>
  <c r="P472" i="8"/>
  <c r="P473" i="8"/>
  <c r="P474" i="8"/>
  <c r="P477" i="8"/>
  <c r="P480" i="8"/>
  <c r="P481" i="8"/>
  <c r="J12" i="23" l="1"/>
  <c r="J10" i="23"/>
  <c r="X12" i="23"/>
  <c r="I13" i="23"/>
  <c r="Y10" i="23"/>
  <c r="I11" i="23"/>
  <c r="Q13" i="23"/>
  <c r="J13" i="23"/>
  <c r="Y11" i="23"/>
  <c r="I10" i="23"/>
  <c r="C11" i="23"/>
  <c r="X13" i="23"/>
  <c r="C13" i="23"/>
  <c r="J11" i="23"/>
  <c r="Y12" i="23"/>
  <c r="Y13" i="23"/>
  <c r="Q11" i="23"/>
  <c r="C10" i="23"/>
  <c r="C12" i="23"/>
  <c r="Q12" i="23"/>
  <c r="Q10" i="23"/>
  <c r="I12" i="23"/>
  <c r="X10" i="23"/>
  <c r="X11" i="23"/>
  <c r="Y10" i="28" l="1"/>
  <c r="O17" i="23"/>
  <c r="A10" i="28"/>
  <c r="M24" i="28"/>
  <c r="O19" i="23"/>
  <c r="O12" i="28"/>
  <c r="AZ45" i="23"/>
  <c r="A39" i="28"/>
  <c r="A53" i="28"/>
  <c r="A36" i="28"/>
  <c r="Y36" i="28"/>
  <c r="O18" i="23"/>
  <c r="O20" i="23"/>
  <c r="AZ46" i="23"/>
  <c r="C12" i="28"/>
  <c r="M25" i="28"/>
  <c r="M10" i="28"/>
  <c r="A24" i="28" s="1"/>
  <c r="A25" i="28"/>
  <c r="M11" i="28"/>
  <c r="BA11" i="23"/>
  <c r="BA14" i="23" s="1"/>
  <c r="Y11" i="28"/>
  <c r="A11" i="28"/>
  <c r="BA10" i="23"/>
  <c r="BA13" i="23" s="1"/>
  <c r="C26" i="28"/>
  <c r="M22" i="28"/>
  <c r="F18" i="23"/>
  <c r="Y7" i="28"/>
  <c r="AZ42" i="23"/>
  <c r="F19" i="23"/>
  <c r="M7" i="28"/>
  <c r="M39" i="28"/>
  <c r="O28" i="23"/>
  <c r="AZ48" i="23"/>
  <c r="A38" i="28"/>
  <c r="A52" i="28" s="1"/>
  <c r="AA26" i="28"/>
  <c r="O31" i="23"/>
  <c r="Y39" i="28"/>
  <c r="Y25" i="28"/>
  <c r="M36" i="28"/>
  <c r="A35" i="28"/>
  <c r="Y35" i="28" s="1"/>
  <c r="F30" i="23"/>
  <c r="C54" i="28"/>
  <c r="F28" i="23"/>
  <c r="AZ44" i="23"/>
  <c r="Y24" i="28"/>
  <c r="Y38" i="28" s="1"/>
  <c r="C40" i="28"/>
  <c r="O30" i="23"/>
  <c r="M38" i="28"/>
  <c r="AZ47" i="23"/>
  <c r="O27" i="23"/>
  <c r="F27" i="23"/>
  <c r="M35" i="28"/>
  <c r="Y21" i="28"/>
  <c r="A49" i="28" s="1"/>
  <c r="AZ43" i="23"/>
  <c r="F31" i="23"/>
  <c r="AA40" i="28"/>
  <c r="A50" i="28"/>
  <c r="Y22" i="28"/>
  <c r="A7" i="28"/>
  <c r="A21" i="28" s="1"/>
  <c r="AZ41" i="23"/>
  <c r="AA12" i="28"/>
  <c r="F17" i="23"/>
  <c r="F20" i="23"/>
  <c r="M21" i="28"/>
  <c r="A22" i="28"/>
  <c r="A8" i="28"/>
  <c r="AZ10" i="23"/>
  <c r="AZ13" i="23" s="1"/>
  <c r="AZ11" i="23"/>
  <c r="AZ14" i="23" s="1"/>
  <c r="Y8" i="28"/>
  <c r="M8" i="28"/>
  <c r="L19" i="23" l="1"/>
  <c r="N19" i="23" s="1"/>
  <c r="L30" i="23"/>
  <c r="N30" i="23" s="1"/>
  <c r="L20" i="23"/>
  <c r="L31" i="23"/>
  <c r="N31" i="23" s="1"/>
  <c r="AZ15" i="23"/>
  <c r="P23" i="23" s="1"/>
  <c r="L28" i="23"/>
  <c r="F29" i="23"/>
  <c r="L27" i="23"/>
  <c r="F21" i="23"/>
  <c r="L17" i="23"/>
  <c r="O29" i="23"/>
  <c r="L18" i="23"/>
  <c r="O21" i="23"/>
  <c r="N20" i="23" l="1"/>
  <c r="N28" i="23"/>
  <c r="N18" i="23"/>
  <c r="N17" i="23"/>
  <c r="N27" i="23"/>
  <c r="L21" i="23"/>
  <c r="L29" i="23"/>
  <c r="N29" i="23" l="1"/>
  <c r="N33" i="23" s="1"/>
  <c r="L33" i="23"/>
  <c r="N21" i="23"/>
  <c r="N23" i="23" s="1"/>
  <c r="L23" i="23"/>
  <c r="CL1" i="23" l="1"/>
  <c r="CM1" i="23"/>
  <c r="A37" i="23"/>
  <c r="A38" i="23"/>
  <c r="H38" i="23"/>
  <c r="H37" i="23"/>
  <c r="A39" i="23" l="1"/>
  <c r="A40" i="23"/>
  <c r="E37" i="23"/>
  <c r="Y12" i="34" l="1"/>
  <c r="Q11" i="34"/>
  <c r="Y13" i="34"/>
  <c r="X13" i="34"/>
  <c r="Y10" i="34"/>
  <c r="X12" i="34"/>
  <c r="Y11" i="34"/>
  <c r="X11" i="34"/>
  <c r="Q12" i="34"/>
  <c r="M24" i="35" s="1"/>
  <c r="Q13" i="34"/>
  <c r="M25" i="35" s="1"/>
  <c r="X10" i="34"/>
  <c r="Q10" i="34"/>
  <c r="O17" i="34" l="1"/>
  <c r="BB41" i="34"/>
  <c r="O12" i="35"/>
  <c r="Y10" i="35"/>
  <c r="A10" i="35"/>
  <c r="O20" i="34"/>
  <c r="A25" i="35"/>
  <c r="M11" i="35"/>
  <c r="A11" i="35"/>
  <c r="Y11" i="35"/>
  <c r="M10" i="35"/>
  <c r="A24" i="35" s="1"/>
  <c r="O18" i="34"/>
  <c r="C12" i="35"/>
  <c r="BB42" i="34"/>
  <c r="O21" i="34"/>
  <c r="O19" i="34" l="1"/>
  <c r="C11" i="34" l="1"/>
  <c r="J12" i="34"/>
  <c r="J11" i="34"/>
  <c r="C13" i="34"/>
  <c r="M22" i="35" s="1"/>
  <c r="I10" i="34" l="1"/>
  <c r="I13" i="34"/>
  <c r="J13" i="34"/>
  <c r="C12" i="34"/>
  <c r="M21" i="35" s="1"/>
  <c r="I12" i="34"/>
  <c r="J10" i="34"/>
  <c r="C10" i="34"/>
  <c r="C26" i="35"/>
  <c r="BB40" i="34"/>
  <c r="M7" i="35"/>
  <c r="F18" i="34"/>
  <c r="L18" i="34" s="1"/>
  <c r="F20" i="34"/>
  <c r="L20" i="34" s="1"/>
  <c r="Y7" i="35"/>
  <c r="I11" i="34"/>
  <c r="N20" i="34" l="1"/>
  <c r="N18" i="34"/>
  <c r="M8" i="35"/>
  <c r="Y8" i="35"/>
  <c r="A22" i="35"/>
  <c r="A8" i="35"/>
  <c r="F21" i="34"/>
  <c r="L21" i="34" s="1"/>
  <c r="F17" i="34"/>
  <c r="A7" i="35"/>
  <c r="A21" i="35" s="1"/>
  <c r="AA12" i="35"/>
  <c r="BB39" i="34"/>
  <c r="F19" i="34" l="1"/>
  <c r="L19" i="34" s="1"/>
  <c r="L17" i="34"/>
  <c r="N21" i="34"/>
  <c r="N17" i="34" l="1"/>
  <c r="L23" i="34"/>
  <c r="CD1" i="34" s="1"/>
  <c r="N19" i="34"/>
  <c r="N23" i="34" l="1"/>
  <c r="CE1" i="34" s="1"/>
  <c r="H29" i="34" l="1"/>
  <c r="A29" i="34"/>
  <c r="H28" i="34"/>
  <c r="A28" i="34"/>
  <c r="A31" i="34" l="1"/>
  <c r="A30" i="34"/>
  <c r="E28" i="34"/>
  <c r="P35" i="8"/>
  <c r="P36" i="8"/>
  <c r="P37" i="8"/>
  <c r="P39" i="8"/>
  <c r="P64" i="8"/>
  <c r="P69" i="8"/>
  <c r="P70" i="8"/>
  <c r="P71" i="8"/>
  <c r="P72" i="8"/>
  <c r="P162" i="8"/>
  <c r="P169" i="8"/>
  <c r="P171" i="8"/>
  <c r="P172" i="8"/>
  <c r="P173" i="8"/>
  <c r="P175" i="8"/>
  <c r="P183" i="8"/>
  <c r="P195" i="8"/>
  <c r="P688" i="8"/>
  <c r="P689" i="8"/>
  <c r="P612" i="8"/>
  <c r="P156" i="8"/>
  <c r="P40" i="8" l="1"/>
  <c r="P613" i="8"/>
  <c r="P44" i="8" l="1"/>
  <c r="P618" i="8" l="1"/>
  <c r="P47" i="8" l="1"/>
  <c r="P619" i="8"/>
  <c r="P48" i="8" l="1"/>
  <c r="P621" i="8"/>
  <c r="P49" i="8" l="1"/>
  <c r="P50" i="8" l="1"/>
  <c r="P622" i="8"/>
  <c r="P53" i="8" l="1"/>
  <c r="P55" i="8" l="1"/>
  <c r="P57" i="8" l="1"/>
  <c r="P58" i="8" l="1"/>
  <c r="P59" i="8" l="1"/>
  <c r="P61" i="8"/>
  <c r="P140" i="8" l="1"/>
  <c r="P141" i="8" l="1"/>
  <c r="P142" i="8" l="1"/>
  <c r="P143" i="8"/>
  <c r="B3" i="8" l="1"/>
  <c r="P34" i="8" l="1"/>
  <c r="B4" i="8"/>
  <c r="B5" i="8" s="1"/>
  <c r="B6" i="8" s="1"/>
  <c r="B7" i="8" s="1"/>
  <c r="B8" i="8" s="1"/>
  <c r="B9" i="8" s="1"/>
  <c r="B10" i="8" s="1"/>
  <c r="B11" i="8" s="1"/>
  <c r="P3" i="8"/>
  <c r="B12" i="8" l="1"/>
  <c r="P11" i="8"/>
  <c r="P9" i="8"/>
  <c r="P4" i="8"/>
  <c r="B13" i="8" l="1"/>
  <c r="P12" i="8"/>
  <c r="P6" i="8"/>
  <c r="P5" i="8"/>
  <c r="B14" i="8" l="1"/>
  <c r="P13" i="8"/>
  <c r="P7" i="8"/>
  <c r="B15" i="8" l="1"/>
  <c r="P14" i="8"/>
  <c r="P8" i="8"/>
  <c r="B16" i="8" l="1"/>
  <c r="P15" i="8"/>
  <c r="P10" i="8"/>
  <c r="P610" i="8"/>
  <c r="B17" i="8" l="1"/>
  <c r="P16" i="8"/>
  <c r="P611" i="8"/>
  <c r="B18" i="8" l="1"/>
  <c r="P17" i="8"/>
  <c r="P623" i="8"/>
  <c r="B19" i="8" l="1"/>
  <c r="P18" i="8"/>
  <c r="P625" i="8"/>
  <c r="B20" i="8" l="1"/>
  <c r="P19" i="8"/>
  <c r="P629" i="8"/>
  <c r="B21" i="8" l="1"/>
  <c r="P20" i="8"/>
  <c r="P631" i="8"/>
  <c r="B22" i="8" l="1"/>
  <c r="P21" i="8"/>
  <c r="P74" i="8"/>
  <c r="B23" i="8" l="1"/>
  <c r="P22" i="8"/>
  <c r="P75" i="8"/>
  <c r="B24" i="8" l="1"/>
  <c r="P23" i="8"/>
  <c r="P76" i="8"/>
  <c r="B25" i="8" l="1"/>
  <c r="P24" i="8"/>
  <c r="P77" i="8"/>
  <c r="P634" i="8"/>
  <c r="P636" i="8"/>
  <c r="P638" i="8"/>
  <c r="P639" i="8"/>
  <c r="P642" i="8"/>
  <c r="P643" i="8"/>
  <c r="P644" i="8"/>
  <c r="P645" i="8"/>
  <c r="P647" i="8"/>
  <c r="P653" i="8"/>
  <c r="P654" i="8"/>
  <c r="P657" i="8"/>
  <c r="P348" i="8"/>
  <c r="B26" i="8" l="1"/>
  <c r="P25" i="8"/>
  <c r="P351" i="8"/>
  <c r="P354" i="8"/>
  <c r="P665" i="8"/>
  <c r="B27" i="8" l="1"/>
  <c r="P26" i="8"/>
  <c r="P352" i="8"/>
  <c r="P663" i="8"/>
  <c r="P667" i="8"/>
  <c r="P375" i="8"/>
  <c r="P664" i="8"/>
  <c r="P660" i="8"/>
  <c r="P355" i="8"/>
  <c r="B28" i="8" l="1"/>
  <c r="P27" i="8"/>
  <c r="P377" i="8"/>
  <c r="P668" i="8"/>
  <c r="B29" i="8" l="1"/>
  <c r="P28" i="8"/>
  <c r="P378" i="8"/>
  <c r="B30" i="8" l="1"/>
  <c r="P29" i="8"/>
  <c r="P669" i="8"/>
  <c r="B31" i="8" l="1"/>
  <c r="P30" i="8"/>
  <c r="P356" i="8"/>
  <c r="P380" i="8"/>
  <c r="P673" i="8"/>
  <c r="B32" i="8" l="1"/>
  <c r="P31" i="8"/>
  <c r="P381" i="8"/>
  <c r="P357" i="8"/>
  <c r="P399" i="8"/>
  <c r="P676" i="8"/>
  <c r="B33" i="8" l="1"/>
  <c r="P33" i="8" s="1"/>
  <c r="P32" i="8"/>
  <c r="P678" i="8"/>
  <c r="P679" i="8"/>
  <c r="P677" i="8"/>
  <c r="P382" i="8" l="1"/>
  <c r="P358" i="8"/>
  <c r="P359" i="8" l="1"/>
  <c r="P681" i="8"/>
  <c r="P360" i="8" l="1"/>
  <c r="P361" i="8" l="1"/>
  <c r="P281" i="8" l="1"/>
  <c r="P362" i="8"/>
  <c r="P392" i="8" l="1"/>
  <c r="P393" i="8" l="1"/>
  <c r="P402" i="8" l="1"/>
  <c r="P395" i="8"/>
  <c r="P396" i="8" l="1"/>
  <c r="P405" i="8" l="1"/>
  <c r="P406" i="8" l="1"/>
  <c r="P412" i="8" l="1"/>
  <c r="P413" i="8" l="1"/>
  <c r="P414" i="8" l="1"/>
  <c r="P416" i="8" l="1"/>
  <c r="P417" i="8" l="1"/>
  <c r="P418" i="8" l="1"/>
  <c r="P419" i="8" l="1"/>
  <c r="P420" i="8" l="1"/>
  <c r="P421" i="8" l="1"/>
  <c r="P423" i="8" l="1"/>
  <c r="P424" i="8" l="1"/>
  <c r="P425" i="8" l="1"/>
  <c r="P426" i="8" l="1"/>
  <c r="P427" i="8" l="1"/>
  <c r="P430" i="8" l="1"/>
  <c r="P434" i="8" l="1"/>
  <c r="P226" i="8" l="1"/>
  <c r="P228" i="8" l="1"/>
  <c r="P229" i="8" l="1"/>
  <c r="P231" i="8" l="1"/>
  <c r="P232" i="8" l="1"/>
  <c r="P233" i="8" l="1"/>
  <c r="P234" i="8" l="1"/>
  <c r="P235" i="8" l="1"/>
  <c r="P236" i="8" l="1"/>
  <c r="P237" i="8" l="1"/>
  <c r="P238" i="8" l="1"/>
  <c r="P240" i="8" l="1"/>
  <c r="P241" i="8" l="1"/>
  <c r="P242" i="8" l="1"/>
  <c r="P243" i="8" l="1"/>
  <c r="P244" i="8" l="1"/>
  <c r="P245" i="8" l="1"/>
  <c r="P247" i="8" l="1"/>
  <c r="P248" i="8" l="1"/>
  <c r="P249" i="8" l="1"/>
  <c r="P250" i="8" l="1"/>
  <c r="P251" i="8" l="1"/>
  <c r="P252" i="8" l="1"/>
  <c r="P253" i="8" l="1"/>
  <c r="P254" i="8" l="1"/>
  <c r="P197" i="8" l="1"/>
  <c r="P435" i="8"/>
  <c r="P690" i="8"/>
  <c r="P198" i="8" l="1"/>
  <c r="P436" i="8"/>
  <c r="P438" i="8" l="1"/>
  <c r="P692" i="8"/>
  <c r="P693" i="8" l="1"/>
  <c r="P439" i="8" l="1"/>
  <c r="P440" i="8" l="1"/>
  <c r="P694" i="8"/>
  <c r="P441" i="8" l="1"/>
  <c r="P695" i="8"/>
  <c r="P442" i="8" l="1"/>
  <c r="P696" i="8"/>
  <c r="P443" i="8" l="1"/>
  <c r="P697" i="8"/>
  <c r="P444" i="8" l="1"/>
  <c r="P698" i="8"/>
  <c r="P445" i="8" l="1"/>
  <c r="P447" i="8" l="1"/>
  <c r="P699" i="8" l="1"/>
  <c r="P448" i="8" l="1"/>
  <c r="P700" i="8"/>
  <c r="P701" i="8" l="1"/>
  <c r="P449" i="8" l="1"/>
  <c r="P702" i="8"/>
  <c r="P450" i="8" l="1"/>
  <c r="P703" i="8"/>
  <c r="P704" i="8" l="1"/>
  <c r="P185" i="8"/>
  <c r="P705" i="8" l="1"/>
  <c r="P451" i="8" l="1"/>
  <c r="P453" i="8" l="1"/>
  <c r="P454" i="8" l="1"/>
  <c r="P707" i="8" l="1"/>
  <c r="P458" i="8" l="1"/>
  <c r="P708" i="8"/>
  <c r="P459" i="8" l="1"/>
  <c r="P709" i="8"/>
  <c r="P710" i="8" l="1"/>
  <c r="P461" i="8" l="1"/>
  <c r="P712" i="8" l="1"/>
  <c r="P713" i="8"/>
  <c r="P462" i="8" l="1"/>
  <c r="P51" i="8" l="1"/>
  <c r="P131" i="8" l="1"/>
  <c r="P132" i="8"/>
  <c r="P133" i="8"/>
  <c r="P134" i="8"/>
  <c r="P135" i="8"/>
  <c r="P136" i="8"/>
  <c r="P137" i="8"/>
  <c r="P138" i="8"/>
  <c r="P139" i="8"/>
  <c r="P92" i="8" l="1"/>
  <c r="P93" i="8" l="1"/>
  <c r="P94" i="8" l="1"/>
  <c r="P100" i="8" l="1"/>
  <c r="P101" i="8" l="1"/>
  <c r="P102" i="8" l="1"/>
  <c r="P103" i="8" l="1"/>
  <c r="P104" i="8" l="1"/>
  <c r="P105" i="8" l="1"/>
  <c r="P106" i="8" l="1"/>
  <c r="P107" i="8" l="1"/>
  <c r="P108" i="8" l="1"/>
  <c r="P109" i="8" l="1"/>
  <c r="P110" i="8" l="1"/>
  <c r="P111" i="8" l="1"/>
  <c r="P112" i="8" l="1"/>
  <c r="P113" i="8" l="1"/>
  <c r="P114" i="8" l="1"/>
  <c r="P115" i="8" l="1"/>
  <c r="P118" i="8" l="1"/>
  <c r="P119" i="8" l="1"/>
  <c r="P120" i="8" l="1"/>
  <c r="P121" i="8" l="1"/>
  <c r="P122" i="8" l="1"/>
  <c r="P123" i="8" l="1"/>
  <c r="P124" i="8" l="1"/>
  <c r="P125" i="8" l="1"/>
  <c r="P126" i="8" l="1"/>
  <c r="P127" i="8" l="1"/>
  <c r="P128" i="8"/>
  <c r="P255" i="8"/>
  <c r="P256" i="8"/>
  <c r="P257" i="8"/>
  <c r="P259" i="8"/>
  <c r="P260" i="8"/>
  <c r="P261" i="8"/>
  <c r="P262" i="8"/>
  <c r="P263" i="8"/>
  <c r="P264" i="8"/>
  <c r="P266" i="8"/>
  <c r="P267" i="8"/>
  <c r="P268" i="8"/>
  <c r="P269" i="8"/>
  <c r="P271" i="8"/>
  <c r="P272" i="8"/>
  <c r="P273" i="8"/>
  <c r="P274" i="8"/>
  <c r="P276" i="8"/>
  <c r="P277" i="8"/>
  <c r="P278" i="8"/>
  <c r="P279" i="8"/>
  <c r="P280" i="8"/>
  <c r="P282" i="8"/>
  <c r="P284" i="8"/>
  <c r="P285" i="8"/>
  <c r="P286" i="8"/>
  <c r="P287" i="8"/>
  <c r="P288" i="8"/>
  <c r="P289" i="8"/>
  <c r="P290" i="8"/>
  <c r="P291" i="8"/>
  <c r="P486" i="8" l="1"/>
  <c r="P482" i="8"/>
  <c r="P487" i="8" l="1"/>
  <c r="P484" i="8"/>
  <c r="P489" i="8" l="1"/>
  <c r="P485" i="8"/>
  <c r="P493" i="8" l="1"/>
  <c r="P488" i="8"/>
  <c r="P516" i="8" l="1"/>
  <c r="P490" i="8"/>
  <c r="P517" i="8" l="1"/>
  <c r="P491" i="8"/>
  <c r="P524" i="8" l="1"/>
  <c r="P492" i="8"/>
  <c r="P525" i="8" l="1"/>
  <c r="P494" i="8"/>
  <c r="P530" i="8" l="1"/>
  <c r="P495" i="8"/>
  <c r="P534" i="8" l="1"/>
  <c r="P496" i="8"/>
  <c r="P535" i="8" l="1"/>
  <c r="P497" i="8"/>
  <c r="P543" i="8" l="1"/>
  <c r="P498" i="8"/>
  <c r="P499" i="8" l="1"/>
  <c r="P500" i="8" l="1"/>
  <c r="P501" i="8" l="1"/>
  <c r="P502" i="8" l="1"/>
  <c r="P503" i="8" l="1"/>
  <c r="P504" i="8" l="1"/>
  <c r="P505" i="8" l="1"/>
  <c r="P506" i="8" l="1"/>
  <c r="P507" i="8" l="1"/>
  <c r="P508" i="8" l="1"/>
  <c r="P509" i="8" l="1"/>
  <c r="P510" i="8" l="1"/>
  <c r="P511" i="8" l="1"/>
  <c r="P512" i="8" l="1"/>
  <c r="P513" i="8" l="1"/>
  <c r="P514" i="8" l="1"/>
  <c r="P515" i="8" l="1"/>
  <c r="P518" i="8" l="1"/>
  <c r="P519" i="8" l="1"/>
  <c r="P521" i="8" l="1"/>
  <c r="P522" i="8" l="1"/>
  <c r="P523" i="8" l="1"/>
  <c r="P526" i="8" l="1"/>
  <c r="P527" i="8" l="1"/>
  <c r="P528" i="8" l="1"/>
  <c r="P529" i="8" l="1"/>
  <c r="P531" i="8" l="1"/>
  <c r="P532" i="8" l="1"/>
  <c r="P533" i="8" l="1"/>
  <c r="P536" i="8" l="1"/>
  <c r="P537" i="8" l="1"/>
  <c r="P538" i="8" l="1"/>
  <c r="P539" i="8" l="1"/>
  <c r="P540" i="8" l="1"/>
  <c r="P541" i="8" l="1"/>
  <c r="P542" i="8" l="1"/>
  <c r="P544" i="8" l="1"/>
  <c r="P545" i="8" l="1"/>
  <c r="B546" i="8"/>
  <c r="B547" i="8" s="1"/>
  <c r="P546" i="8" l="1"/>
  <c r="B548" i="8"/>
  <c r="P547" i="8"/>
  <c r="P548" i="8" l="1"/>
  <c r="B549" i="8"/>
  <c r="P549" i="8" l="1"/>
  <c r="B550" i="8"/>
  <c r="P550" i="8" l="1"/>
  <c r="B551" i="8"/>
  <c r="B552" i="8" l="1"/>
  <c r="P551" i="8"/>
  <c r="P552" i="8" l="1"/>
  <c r="B553" i="8"/>
  <c r="P553" i="8" l="1"/>
  <c r="B554" i="8"/>
  <c r="P554" i="8" l="1"/>
  <c r="B555" i="8"/>
  <c r="B556" i="8" l="1"/>
  <c r="P555" i="8"/>
  <c r="P556" i="8" l="1"/>
  <c r="B557" i="8"/>
  <c r="P557" i="8" l="1"/>
  <c r="B558" i="8"/>
  <c r="P558" i="8" l="1"/>
  <c r="B559" i="8"/>
  <c r="B560" i="8" l="1"/>
  <c r="P559" i="8"/>
  <c r="P560" i="8" l="1"/>
  <c r="B561" i="8"/>
  <c r="P561" i="8" l="1"/>
  <c r="B562" i="8"/>
  <c r="P562" i="8" l="1"/>
  <c r="B563" i="8"/>
  <c r="B564" i="8" l="1"/>
  <c r="P563" i="8"/>
  <c r="P564" i="8" l="1"/>
  <c r="B565" i="8"/>
  <c r="P565" i="8" l="1"/>
  <c r="B566" i="8"/>
  <c r="P566" i="8" l="1"/>
  <c r="B567" i="8"/>
  <c r="B568" i="8" l="1"/>
  <c r="P567" i="8"/>
  <c r="P568" i="8" l="1"/>
  <c r="B569" i="8"/>
  <c r="P569" i="8" l="1"/>
  <c r="B570" i="8"/>
  <c r="P570" i="8" l="1"/>
  <c r="B571" i="8"/>
  <c r="B572" i="8" l="1"/>
  <c r="P571" i="8"/>
  <c r="P572" i="8" l="1"/>
  <c r="B573" i="8"/>
  <c r="P573" i="8" l="1"/>
  <c r="B574" i="8"/>
  <c r="P574" i="8" l="1"/>
  <c r="B575" i="8"/>
  <c r="B576" i="8" l="1"/>
  <c r="P575" i="8"/>
  <c r="P576" i="8" l="1"/>
  <c r="B577" i="8"/>
  <c r="P577" i="8" l="1"/>
  <c r="B578" i="8"/>
  <c r="P578" i="8" l="1"/>
  <c r="B579" i="8"/>
  <c r="P579" i="8" l="1"/>
  <c r="B580" i="8"/>
  <c r="P580" i="8" l="1"/>
  <c r="B581" i="8"/>
  <c r="P581" i="8" l="1"/>
  <c r="B582" i="8"/>
  <c r="P582" i="8" l="1"/>
  <c r="B583" i="8"/>
  <c r="B584" i="8" l="1"/>
  <c r="B585" i="8" s="1"/>
  <c r="P583" i="8"/>
  <c r="B586" i="8" l="1"/>
  <c r="P585" i="8"/>
  <c r="P584" i="8"/>
  <c r="P586" i="8" l="1"/>
  <c r="B587" i="8"/>
  <c r="P587" i="8" l="1"/>
  <c r="B588" i="8"/>
  <c r="B589" i="8" l="1"/>
  <c r="P588" i="8"/>
  <c r="P589" i="8" l="1"/>
  <c r="B590" i="8"/>
  <c r="P590" i="8" l="1"/>
  <c r="B591" i="8"/>
  <c r="P591" i="8" l="1"/>
  <c r="B592" i="8"/>
  <c r="B593" i="8" l="1"/>
  <c r="P592" i="8"/>
  <c r="P593" i="8" l="1"/>
  <c r="B594" i="8"/>
  <c r="P594" i="8" l="1"/>
  <c r="B595" i="8"/>
  <c r="P595" i="8" l="1"/>
  <c r="B596" i="8"/>
  <c r="P596" i="8" l="1"/>
  <c r="B597" i="8"/>
  <c r="P597" i="8" l="1"/>
  <c r="B598" i="8"/>
  <c r="P598" i="8" l="1"/>
  <c r="B599" i="8"/>
  <c r="P599" i="8" l="1"/>
  <c r="B600" i="8"/>
  <c r="B601" i="8" l="1"/>
  <c r="P600" i="8"/>
  <c r="P601" i="8" l="1"/>
  <c r="B602" i="8"/>
  <c r="P602" i="8" l="1"/>
  <c r="B603" i="8"/>
  <c r="P603" i="8" l="1"/>
  <c r="B604" i="8"/>
  <c r="B605" i="8" l="1"/>
  <c r="P604" i="8"/>
  <c r="P605" i="8" l="1"/>
  <c r="B606" i="8"/>
  <c r="P606" i="8" l="1"/>
  <c r="B607" i="8"/>
  <c r="P607" i="8" l="1"/>
  <c r="B608" i="8"/>
  <c r="P608" i="8" l="1"/>
  <c r="B609" i="8"/>
  <c r="P609" i="8" s="1"/>
  <c r="BN12" i="31" l="1"/>
  <c r="BO12" i="31" s="1"/>
  <c r="BA16" i="36"/>
  <c r="BB16" i="36" s="1"/>
  <c r="BA13" i="36"/>
  <c r="BB13" i="36" s="1"/>
  <c r="BA6" i="36"/>
  <c r="BB6" i="36" s="1"/>
  <c r="BN15" i="31"/>
  <c r="BO15" i="31" s="1"/>
  <c r="BA15" i="36"/>
  <c r="BB15" i="36" s="1"/>
  <c r="BQ12" i="25"/>
  <c r="BR12" i="25" s="1"/>
  <c r="BQ11" i="25"/>
  <c r="BR11" i="25" s="1"/>
  <c r="BN14" i="31"/>
  <c r="BO14" i="31" s="1"/>
  <c r="BJ17" i="34"/>
  <c r="BK17" i="34" s="1"/>
  <c r="BA21" i="36"/>
  <c r="BB21" i="36" s="1"/>
  <c r="BQ14" i="25"/>
  <c r="BR14" i="25" s="1"/>
  <c r="BG17" i="23"/>
  <c r="BH17" i="23" s="1"/>
  <c r="BJ18" i="34"/>
  <c r="BK18" i="34" s="1"/>
  <c r="BR11" i="38"/>
  <c r="BS11" i="38" s="1"/>
  <c r="BJ15" i="34"/>
  <c r="BK15" i="34" s="1"/>
  <c r="BG25" i="23"/>
  <c r="BH25" i="23" s="1"/>
  <c r="BA7" i="36"/>
  <c r="BB7" i="36" s="1"/>
  <c r="BG13" i="23"/>
  <c r="BH13" i="23" s="1"/>
  <c r="BA4" i="36"/>
  <c r="BB4" i="36" s="1"/>
  <c r="BG16" i="23"/>
  <c r="BH16" i="23" s="1"/>
  <c r="BA8" i="36"/>
  <c r="BB8" i="36" s="1"/>
  <c r="BG20" i="23"/>
  <c r="BH20" i="23" s="1"/>
  <c r="BQ26" i="25"/>
  <c r="BR26" i="25" s="1"/>
  <c r="BR13" i="38"/>
  <c r="BS13" i="38" s="1"/>
  <c r="BN11" i="31"/>
  <c r="BO11" i="31" s="1"/>
  <c r="BQ24" i="25"/>
  <c r="BR24" i="25" s="1"/>
  <c r="BG23" i="23"/>
  <c r="BH23" i="23" s="1"/>
  <c r="BQ20" i="25"/>
  <c r="BR20" i="25" s="1"/>
  <c r="BA11" i="36"/>
  <c r="BB11" i="36" s="1"/>
  <c r="BA20" i="36"/>
  <c r="BB20" i="36" s="1"/>
  <c r="BG24" i="23"/>
  <c r="BH24" i="23" s="1"/>
  <c r="BQ22" i="25"/>
  <c r="BR22" i="25" s="1"/>
  <c r="BR18" i="38"/>
  <c r="BS18" i="38" s="1"/>
  <c r="BR12" i="38"/>
  <c r="BS12" i="38" s="1"/>
  <c r="BN13" i="31"/>
  <c r="BO13" i="31" s="1"/>
  <c r="BA12" i="36"/>
  <c r="BB12" i="36" s="1"/>
  <c r="BJ14" i="34"/>
  <c r="BK14" i="34" s="1"/>
  <c r="BQ13" i="25"/>
  <c r="BR13" i="25" s="1"/>
  <c r="BJ16" i="34"/>
  <c r="BK16" i="34" s="1"/>
  <c r="BQ21" i="25"/>
  <c r="BR21" i="25" s="1"/>
  <c r="BQ23" i="25"/>
  <c r="BR23" i="25" s="1"/>
  <c r="BJ12" i="34"/>
  <c r="BK12" i="34" s="1"/>
  <c r="BJ13" i="34"/>
  <c r="BK13" i="34" s="1"/>
  <c r="BQ15" i="25"/>
  <c r="BR15" i="25" s="1"/>
  <c r="BA9" i="36"/>
  <c r="BB9" i="36" s="1"/>
  <c r="BG15" i="23"/>
  <c r="BH15" i="23" s="1"/>
  <c r="BN17" i="31"/>
  <c r="BO17" i="31" s="1"/>
  <c r="BQ25" i="25"/>
  <c r="BR25" i="25" s="1"/>
  <c r="BQ16" i="25"/>
  <c r="BR16" i="25" s="1"/>
  <c r="BN16" i="31"/>
  <c r="BO16" i="31" s="1"/>
  <c r="BR17" i="38"/>
  <c r="BS17" i="38" s="1"/>
  <c r="BG11" i="23"/>
  <c r="BH11" i="23" s="1"/>
  <c r="BA19" i="36"/>
  <c r="BB19" i="36" s="1"/>
  <c r="BA10" i="36"/>
  <c r="BB10" i="36" s="1"/>
  <c r="BJ11" i="34"/>
  <c r="BK11" i="34" s="1"/>
  <c r="BQ17" i="25"/>
  <c r="BR17" i="25" s="1"/>
  <c r="BG21" i="23"/>
  <c r="BH21" i="23" s="1"/>
  <c r="BG19" i="23"/>
  <c r="BH19" i="23" s="1"/>
  <c r="BA18" i="36"/>
  <c r="BB18" i="36" s="1"/>
  <c r="BA17" i="36"/>
  <c r="BB17" i="36" s="1"/>
  <c r="BQ19" i="25"/>
  <c r="BR19" i="25" s="1"/>
  <c r="BA14" i="36"/>
  <c r="BB14" i="36" s="1"/>
  <c r="BG18" i="23"/>
  <c r="BH18" i="23" s="1"/>
  <c r="BG22" i="23"/>
  <c r="BH22" i="23" s="1"/>
  <c r="BN18" i="31"/>
  <c r="BO18" i="31" s="1"/>
  <c r="BG14" i="23"/>
  <c r="BH14" i="23" s="1"/>
  <c r="BG12" i="23"/>
  <c r="BH12" i="23" s="1"/>
  <c r="BR14" i="38"/>
  <c r="BS14" i="38" s="1"/>
  <c r="BQ18" i="25"/>
  <c r="BR18" i="25" s="1"/>
  <c r="BR16" i="38"/>
  <c r="BS16" i="38" s="1"/>
  <c r="BR15" i="38"/>
  <c r="BS15" i="38" s="1"/>
  <c r="BA5" i="36"/>
  <c r="BB5" i="36" s="1"/>
  <c r="BG26" i="23"/>
  <c r="BH26" i="2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mamajons</author>
    <author>MARIE CATHERINE Bernard</author>
  </authors>
  <commentList>
    <comment ref="B9" authorId="0" shapeId="0" xr:uid="{00000000-0006-0000-0000-000001000000}">
      <text>
        <r>
          <rPr>
            <sz val="14"/>
            <color indexed="81"/>
            <rFont val="Tahoma"/>
            <family val="2"/>
          </rPr>
          <t xml:space="preserve">Saisir uniquement le code du joueur (se référer à la liste des joueurs). 
Si  le </t>
        </r>
        <r>
          <rPr>
            <b/>
            <sz val="14"/>
            <color indexed="81"/>
            <rFont val="Tahoma"/>
            <family val="2"/>
          </rPr>
          <t>joueur n'a pas de code</t>
        </r>
        <r>
          <rPr>
            <sz val="14"/>
            <color indexed="81"/>
            <rFont val="Tahoma"/>
            <family val="2"/>
          </rPr>
          <t xml:space="preserve">, saisir </t>
        </r>
        <r>
          <rPr>
            <b/>
            <sz val="14"/>
            <color indexed="81"/>
            <rFont val="Tahoma"/>
            <family val="2"/>
          </rPr>
          <t>UNIQUEMENT</t>
        </r>
        <r>
          <rPr>
            <sz val="14"/>
            <color indexed="81"/>
            <rFont val="Tahoma"/>
            <family val="2"/>
          </rPr>
          <t xml:space="preserve"> son nom et prénom dans la case correspondante.
Si </t>
        </r>
        <r>
          <rPr>
            <b/>
            <sz val="14"/>
            <color indexed="81"/>
            <rFont val="Tahoma"/>
            <family val="2"/>
          </rPr>
          <t>FORFAIT</t>
        </r>
        <r>
          <rPr>
            <sz val="14"/>
            <color indexed="81"/>
            <rFont val="Tahoma"/>
            <family val="2"/>
          </rPr>
          <t xml:space="preserve"> mettre </t>
        </r>
        <r>
          <rPr>
            <b/>
            <sz val="14"/>
            <color indexed="81"/>
            <rFont val="Tahoma"/>
            <family val="2"/>
          </rPr>
          <t>0 (zéro) pour code joueur</t>
        </r>
      </text>
    </comment>
    <comment ref="P9" authorId="0" shapeId="0" xr:uid="{00000000-0006-0000-0000-000002000000}">
      <text>
        <r>
          <rPr>
            <sz val="12"/>
            <color indexed="81"/>
            <rFont val="Tahoma"/>
            <family val="2"/>
          </rPr>
          <t>Saisir uniquement le code du joueur (se référer à la liste des joueurs). 
Si  le</t>
        </r>
        <r>
          <rPr>
            <b/>
            <u/>
            <sz val="12"/>
            <color indexed="81"/>
            <rFont val="Tahoma"/>
            <family val="2"/>
          </rPr>
          <t xml:space="preserve"> joueur n'a pas de code,</t>
        </r>
        <r>
          <rPr>
            <sz val="12"/>
            <color indexed="81"/>
            <rFont val="Tahoma"/>
            <family val="2"/>
          </rPr>
          <t xml:space="preserve"> saisir </t>
        </r>
        <r>
          <rPr>
            <b/>
            <sz val="12"/>
            <color indexed="81"/>
            <rFont val="Tahoma"/>
            <family val="2"/>
          </rPr>
          <t>UNIQUEMENT</t>
        </r>
        <r>
          <rPr>
            <sz val="12"/>
            <color indexed="81"/>
            <rFont val="Tahoma"/>
            <family val="2"/>
          </rPr>
          <t xml:space="preserve"> son nom et prénom dans la case correspondante.
Si </t>
        </r>
        <r>
          <rPr>
            <b/>
            <sz val="12"/>
            <color indexed="81"/>
            <rFont val="Tahoma"/>
            <family val="2"/>
          </rPr>
          <t>FORFAIT</t>
        </r>
        <r>
          <rPr>
            <sz val="12"/>
            <color indexed="81"/>
            <rFont val="Tahoma"/>
            <family val="2"/>
          </rPr>
          <t xml:space="preserve"> mettre </t>
        </r>
        <r>
          <rPr>
            <b/>
            <sz val="12"/>
            <color indexed="81"/>
            <rFont val="Tahoma"/>
            <family val="2"/>
          </rPr>
          <t>0 (zéro) pour code joueur</t>
        </r>
      </text>
    </comment>
    <comment ref="A16" authorId="1" shapeId="0" xr:uid="{00000000-0006-0000-0000-000003000000}">
      <text>
        <r>
          <rPr>
            <sz val="14"/>
            <color indexed="81"/>
            <rFont val="Tahoma"/>
            <family val="2"/>
          </rPr>
          <t xml:space="preserve">Indiquer un score positif si c'est le joueur à domicile qui gagne le set et indiquer un score négatif si c'est le joueur extérieur qui gagne le set. 
</t>
        </r>
        <r>
          <rPr>
            <b/>
            <sz val="14"/>
            <color indexed="81"/>
            <rFont val="Tahoma"/>
            <family val="2"/>
          </rPr>
          <t>Pas de Score en cas de Forfait</t>
        </r>
      </text>
    </comment>
    <comment ref="A20" authorId="1" shapeId="0" xr:uid="{00000000-0006-0000-0000-000004000000}">
      <text>
        <r>
          <rPr>
            <sz val="14"/>
            <color indexed="81"/>
            <rFont val="Tahoma"/>
            <family val="2"/>
          </rPr>
          <t>Indiquer un score positif si c'est le joueur à domicile qui gagne le set et indiquer un score négatif si c'est le joueur extérieur qui gagne le set.</t>
        </r>
        <r>
          <rPr>
            <b/>
            <sz val="14"/>
            <color indexed="81"/>
            <rFont val="Tahoma"/>
            <family val="2"/>
          </rPr>
          <t xml:space="preserve"> 
Pas de Score en cas de Forfait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mamajons</author>
  </authors>
  <commentList>
    <comment ref="B10" authorId="0" shapeId="0" xr:uid="{00000000-0006-0000-0200-000001000000}">
      <text>
        <r>
          <rPr>
            <sz val="12"/>
            <color indexed="81"/>
            <rFont val="Tahoma"/>
            <family val="2"/>
          </rPr>
          <t>Saisir uniquement le code du joueur (se référer à la liste des joueurs). 
Si  le</t>
        </r>
        <r>
          <rPr>
            <b/>
            <sz val="12"/>
            <color indexed="81"/>
            <rFont val="Tahoma"/>
            <family val="2"/>
          </rPr>
          <t xml:space="preserve"> joueur n'a pas de code</t>
        </r>
        <r>
          <rPr>
            <sz val="12"/>
            <color indexed="81"/>
            <rFont val="Tahoma"/>
            <family val="2"/>
          </rPr>
          <t xml:space="preserve">, saisir </t>
        </r>
        <r>
          <rPr>
            <b/>
            <sz val="12"/>
            <color indexed="81"/>
            <rFont val="Tahoma"/>
            <family val="2"/>
          </rPr>
          <t>UNIQUEMENT</t>
        </r>
        <r>
          <rPr>
            <sz val="12"/>
            <color indexed="81"/>
            <rFont val="Tahoma"/>
            <family val="2"/>
          </rPr>
          <t xml:space="preserve"> son nom et prénom dans la case correspondante.
Si</t>
        </r>
        <r>
          <rPr>
            <sz val="12"/>
            <color indexed="10"/>
            <rFont val="Tahoma"/>
            <family val="2"/>
          </rPr>
          <t xml:space="preserve"> </t>
        </r>
        <r>
          <rPr>
            <b/>
            <sz val="12"/>
            <color indexed="10"/>
            <rFont val="Tahoma"/>
            <family val="2"/>
          </rPr>
          <t>FORFAIT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sz val="12"/>
            <color indexed="81"/>
            <rFont val="Tahoma"/>
            <family val="2"/>
          </rPr>
          <t xml:space="preserve">mettre </t>
        </r>
        <r>
          <rPr>
            <b/>
            <u/>
            <sz val="12"/>
            <color indexed="10"/>
            <rFont val="Tahoma"/>
            <family val="2"/>
          </rPr>
          <t>0 (zéro) pour code joueur</t>
        </r>
      </text>
    </comment>
    <comment ref="P10" authorId="0" shapeId="0" xr:uid="{00000000-0006-0000-0200-000002000000}">
      <text>
        <r>
          <rPr>
            <sz val="14"/>
            <color indexed="81"/>
            <rFont val="Tahoma"/>
            <family val="2"/>
          </rPr>
          <t xml:space="preserve">Saisir uniquement le code du joueur (se référer à la liste des joueurs). 
Si  le </t>
        </r>
        <r>
          <rPr>
            <b/>
            <sz val="14"/>
            <color indexed="81"/>
            <rFont val="Tahoma"/>
            <family val="2"/>
          </rPr>
          <t>joueur n'a pas de code</t>
        </r>
        <r>
          <rPr>
            <sz val="14"/>
            <color indexed="81"/>
            <rFont val="Tahoma"/>
            <family val="2"/>
          </rPr>
          <t xml:space="preserve">, saisir </t>
        </r>
        <r>
          <rPr>
            <b/>
            <sz val="14"/>
            <color indexed="81"/>
            <rFont val="Tahoma"/>
            <family val="2"/>
          </rPr>
          <t>UNIQUEMENT</t>
        </r>
        <r>
          <rPr>
            <sz val="14"/>
            <color indexed="81"/>
            <rFont val="Tahoma"/>
            <family val="2"/>
          </rPr>
          <t xml:space="preserve"> son nom et prénom dans la case correspondante.
Si </t>
        </r>
        <r>
          <rPr>
            <b/>
            <sz val="14"/>
            <color indexed="81"/>
            <rFont val="Tahoma"/>
            <family val="2"/>
          </rPr>
          <t>FORFAIT</t>
        </r>
        <r>
          <rPr>
            <sz val="14"/>
            <color indexed="81"/>
            <rFont val="Tahoma"/>
            <family val="2"/>
          </rPr>
          <t xml:space="preserve"> mettre</t>
        </r>
        <r>
          <rPr>
            <b/>
            <sz val="14"/>
            <color indexed="10"/>
            <rFont val="Tahoma"/>
            <family val="2"/>
          </rPr>
          <t xml:space="preserve"> </t>
        </r>
        <r>
          <rPr>
            <b/>
            <u/>
            <sz val="14"/>
            <color indexed="10"/>
            <rFont val="Tahoma"/>
            <family val="2"/>
          </rPr>
          <t>0 (zéro) pour code joueur</t>
        </r>
      </text>
    </comment>
    <comment ref="A27" authorId="0" shapeId="0" xr:uid="{00000000-0006-0000-0200-000003000000}">
      <text>
        <r>
          <rPr>
            <sz val="14"/>
            <color indexed="81"/>
            <rFont val="Tahoma"/>
            <family val="2"/>
          </rPr>
          <t xml:space="preserve">Indiquer un score </t>
        </r>
        <r>
          <rPr>
            <b/>
            <sz val="14"/>
            <color indexed="81"/>
            <rFont val="Tahoma"/>
            <family val="2"/>
          </rPr>
          <t>positif</t>
        </r>
        <r>
          <rPr>
            <sz val="14"/>
            <color indexed="81"/>
            <rFont val="Tahoma"/>
            <family val="2"/>
          </rPr>
          <t xml:space="preserve"> si c'est le joueur à domicile qui </t>
        </r>
        <r>
          <rPr>
            <b/>
            <sz val="14"/>
            <color indexed="81"/>
            <rFont val="Tahoma"/>
            <family val="2"/>
          </rPr>
          <t>gagne</t>
        </r>
        <r>
          <rPr>
            <sz val="14"/>
            <color indexed="81"/>
            <rFont val="Tahoma"/>
            <family val="2"/>
          </rPr>
          <t xml:space="preserve"> le set et indiquer un score </t>
        </r>
        <r>
          <rPr>
            <b/>
            <sz val="14"/>
            <color indexed="81"/>
            <rFont val="Tahoma"/>
            <family val="2"/>
          </rPr>
          <t>négatif</t>
        </r>
        <r>
          <rPr>
            <sz val="14"/>
            <color indexed="81"/>
            <rFont val="Tahoma"/>
            <family val="2"/>
          </rPr>
          <t xml:space="preserve"> si c'est le joueur </t>
        </r>
        <r>
          <rPr>
            <b/>
            <sz val="14"/>
            <color indexed="81"/>
            <rFont val="Tahoma"/>
            <family val="2"/>
          </rPr>
          <t>extérieur</t>
        </r>
        <r>
          <rPr>
            <sz val="14"/>
            <color indexed="81"/>
            <rFont val="Tahoma"/>
            <family val="2"/>
          </rPr>
          <t xml:space="preserve"> qui gagne le set. 
</t>
        </r>
        <r>
          <rPr>
            <b/>
            <sz val="14"/>
            <color indexed="81"/>
            <rFont val="Tahoma"/>
            <family val="2"/>
          </rPr>
          <t xml:space="preserve">Pas de Score en cas de Forfait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mamajons</author>
  </authors>
  <commentList>
    <comment ref="B10" authorId="0" shapeId="0" xr:uid="{00000000-0006-0000-0400-000001000000}">
      <text>
        <r>
          <rPr>
            <sz val="12"/>
            <color indexed="81"/>
            <rFont val="Tahoma"/>
            <family val="2"/>
          </rPr>
          <t>Saisir uniquement le code du joueur (se référer à la liste des joueurs). 
Si  le</t>
        </r>
        <r>
          <rPr>
            <b/>
            <sz val="12"/>
            <color indexed="81"/>
            <rFont val="Tahoma"/>
            <family val="2"/>
          </rPr>
          <t xml:space="preserve"> joueur n'a pas de code</t>
        </r>
        <r>
          <rPr>
            <sz val="12"/>
            <color indexed="81"/>
            <rFont val="Tahoma"/>
            <family val="2"/>
          </rPr>
          <t xml:space="preserve">, saisir </t>
        </r>
        <r>
          <rPr>
            <b/>
            <sz val="12"/>
            <color indexed="81"/>
            <rFont val="Tahoma"/>
            <family val="2"/>
          </rPr>
          <t>UNIQUEMENT</t>
        </r>
        <r>
          <rPr>
            <sz val="12"/>
            <color indexed="81"/>
            <rFont val="Tahoma"/>
            <family val="2"/>
          </rPr>
          <t xml:space="preserve"> son nom et prénom dans la case correspondante.
Si</t>
        </r>
        <r>
          <rPr>
            <sz val="12"/>
            <color indexed="10"/>
            <rFont val="Tahoma"/>
            <family val="2"/>
          </rPr>
          <t xml:space="preserve"> </t>
        </r>
        <r>
          <rPr>
            <b/>
            <sz val="12"/>
            <color indexed="10"/>
            <rFont val="Tahoma"/>
            <family val="2"/>
          </rPr>
          <t>FORFAIT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sz val="12"/>
            <color indexed="81"/>
            <rFont val="Tahoma"/>
            <family val="2"/>
          </rPr>
          <t xml:space="preserve">mettre </t>
        </r>
        <r>
          <rPr>
            <b/>
            <u/>
            <sz val="12"/>
            <color indexed="10"/>
            <rFont val="Tahoma"/>
            <family val="2"/>
          </rPr>
          <t>0 (zéro) pour code joueur</t>
        </r>
      </text>
    </comment>
    <comment ref="P10" authorId="0" shapeId="0" xr:uid="{00000000-0006-0000-0400-000002000000}">
      <text>
        <r>
          <rPr>
            <sz val="14"/>
            <color indexed="81"/>
            <rFont val="Tahoma"/>
            <family val="2"/>
          </rPr>
          <t xml:space="preserve">Saisir uniquement le code du joueur (se référer à la liste des joueurs). 
Si  le </t>
        </r>
        <r>
          <rPr>
            <b/>
            <sz val="14"/>
            <color indexed="81"/>
            <rFont val="Tahoma"/>
            <family val="2"/>
          </rPr>
          <t>joueur n'a pas de code</t>
        </r>
        <r>
          <rPr>
            <sz val="14"/>
            <color indexed="81"/>
            <rFont val="Tahoma"/>
            <family val="2"/>
          </rPr>
          <t xml:space="preserve">, saisir </t>
        </r>
        <r>
          <rPr>
            <b/>
            <sz val="14"/>
            <color indexed="81"/>
            <rFont val="Tahoma"/>
            <family val="2"/>
          </rPr>
          <t>UNIQUEMENT</t>
        </r>
        <r>
          <rPr>
            <sz val="14"/>
            <color indexed="81"/>
            <rFont val="Tahoma"/>
            <family val="2"/>
          </rPr>
          <t xml:space="preserve"> son nom et prénom dans la case correspondante.
Si </t>
        </r>
        <r>
          <rPr>
            <b/>
            <sz val="14"/>
            <color indexed="81"/>
            <rFont val="Tahoma"/>
            <family val="2"/>
          </rPr>
          <t>FORFAIT</t>
        </r>
        <r>
          <rPr>
            <sz val="14"/>
            <color indexed="81"/>
            <rFont val="Tahoma"/>
            <family val="2"/>
          </rPr>
          <t xml:space="preserve"> mettre</t>
        </r>
        <r>
          <rPr>
            <b/>
            <sz val="14"/>
            <color indexed="10"/>
            <rFont val="Tahoma"/>
            <family val="2"/>
          </rPr>
          <t xml:space="preserve"> </t>
        </r>
        <r>
          <rPr>
            <b/>
            <u/>
            <sz val="14"/>
            <color indexed="10"/>
            <rFont val="Tahoma"/>
            <family val="2"/>
          </rPr>
          <t>0 (zéro) pour code joueur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mamajons</author>
  </authors>
  <commentList>
    <comment ref="B10" authorId="0" shapeId="0" xr:uid="{00000000-0006-0000-0600-000001000000}">
      <text>
        <r>
          <rPr>
            <sz val="12"/>
            <color indexed="81"/>
            <rFont val="Tahoma"/>
            <family val="2"/>
          </rPr>
          <t>Saisir uniquement le code du joueur (se référer à la liste des joueurs). 
Si  le</t>
        </r>
        <r>
          <rPr>
            <b/>
            <sz val="12"/>
            <color indexed="81"/>
            <rFont val="Tahoma"/>
            <family val="2"/>
          </rPr>
          <t xml:space="preserve"> joueur n'a pas de code</t>
        </r>
        <r>
          <rPr>
            <sz val="12"/>
            <color indexed="81"/>
            <rFont val="Tahoma"/>
            <family val="2"/>
          </rPr>
          <t xml:space="preserve">, saisir </t>
        </r>
        <r>
          <rPr>
            <b/>
            <sz val="12"/>
            <color indexed="81"/>
            <rFont val="Tahoma"/>
            <family val="2"/>
          </rPr>
          <t>UNIQUEMENT</t>
        </r>
        <r>
          <rPr>
            <sz val="12"/>
            <color indexed="81"/>
            <rFont val="Tahoma"/>
            <family val="2"/>
          </rPr>
          <t xml:space="preserve"> son nom et prénom dans la case correspondante.
Si</t>
        </r>
        <r>
          <rPr>
            <sz val="12"/>
            <color indexed="10"/>
            <rFont val="Tahoma"/>
            <family val="2"/>
          </rPr>
          <t xml:space="preserve"> </t>
        </r>
        <r>
          <rPr>
            <b/>
            <sz val="12"/>
            <color indexed="10"/>
            <rFont val="Tahoma"/>
            <family val="2"/>
          </rPr>
          <t>FORFAIT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sz val="12"/>
            <color indexed="81"/>
            <rFont val="Tahoma"/>
            <family val="2"/>
          </rPr>
          <t xml:space="preserve">mettre </t>
        </r>
        <r>
          <rPr>
            <b/>
            <u/>
            <sz val="12"/>
            <color indexed="10"/>
            <rFont val="Tahoma"/>
            <family val="2"/>
          </rPr>
          <t>0 (zéro) pour code joueur</t>
        </r>
      </text>
    </comment>
    <comment ref="P10" authorId="0" shapeId="0" xr:uid="{00000000-0006-0000-0600-000002000000}">
      <text>
        <r>
          <rPr>
            <sz val="14"/>
            <color indexed="81"/>
            <rFont val="Tahoma"/>
            <family val="2"/>
          </rPr>
          <t xml:space="preserve">Saisir uniquement le code du joueur (se référer à la liste des joueurs). 
Si  le </t>
        </r>
        <r>
          <rPr>
            <b/>
            <sz val="14"/>
            <color indexed="81"/>
            <rFont val="Tahoma"/>
            <family val="2"/>
          </rPr>
          <t>joueur n'a pas de code</t>
        </r>
        <r>
          <rPr>
            <sz val="14"/>
            <color indexed="81"/>
            <rFont val="Tahoma"/>
            <family val="2"/>
          </rPr>
          <t xml:space="preserve">, saisir </t>
        </r>
        <r>
          <rPr>
            <b/>
            <sz val="14"/>
            <color indexed="81"/>
            <rFont val="Tahoma"/>
            <family val="2"/>
          </rPr>
          <t>UNIQUEMENT</t>
        </r>
        <r>
          <rPr>
            <sz val="14"/>
            <color indexed="81"/>
            <rFont val="Tahoma"/>
            <family val="2"/>
          </rPr>
          <t xml:space="preserve"> son nom et prénom dans la case correspondante.
Si </t>
        </r>
        <r>
          <rPr>
            <b/>
            <sz val="14"/>
            <color indexed="81"/>
            <rFont val="Tahoma"/>
            <family val="2"/>
          </rPr>
          <t>FORFAIT</t>
        </r>
        <r>
          <rPr>
            <sz val="14"/>
            <color indexed="81"/>
            <rFont val="Tahoma"/>
            <family val="2"/>
          </rPr>
          <t xml:space="preserve"> mettre</t>
        </r>
        <r>
          <rPr>
            <b/>
            <sz val="14"/>
            <color indexed="10"/>
            <rFont val="Tahoma"/>
            <family val="2"/>
          </rPr>
          <t xml:space="preserve"> </t>
        </r>
        <r>
          <rPr>
            <b/>
            <u/>
            <sz val="14"/>
            <color indexed="10"/>
            <rFont val="Tahoma"/>
            <family val="2"/>
          </rPr>
          <t>0 (zéro) pour code joueur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mamajons</author>
  </authors>
  <commentList>
    <comment ref="B12" authorId="0" shapeId="0" xr:uid="{00000000-0006-0000-0800-000001000000}">
      <text>
        <r>
          <rPr>
            <sz val="14"/>
            <color indexed="81"/>
            <rFont val="Tahoma"/>
            <family val="2"/>
          </rPr>
          <t>Si la paire de double comporte 1 ou 2 joueurs différents des joueurs de simples, saisissez le code joueur des nouveaux joueurs</t>
        </r>
      </text>
    </comment>
    <comment ref="P12" authorId="0" shapeId="0" xr:uid="{00000000-0006-0000-0800-000002000000}">
      <text>
        <r>
          <rPr>
            <sz val="14"/>
            <color indexed="81"/>
            <rFont val="Tahoma"/>
            <family val="2"/>
          </rPr>
          <t>Si la paire de double comporte 1 ou 2 joueurs différents des joueurs de simples, saisissez le code joueur des nouveaux joueurs</t>
        </r>
      </text>
    </comment>
    <comment ref="B13" authorId="0" shapeId="0" xr:uid="{00000000-0006-0000-0800-000003000000}">
      <text>
        <r>
          <rPr>
            <sz val="14"/>
            <color indexed="81"/>
            <rFont val="Tahoma"/>
            <family val="2"/>
          </rPr>
          <t>Si la paire de double comporte 1 ou 2 joueurs différents des joueurs de simples, saisissez le code joueur des nouveaux joueurs</t>
        </r>
      </text>
    </comment>
    <comment ref="P13" authorId="0" shapeId="0" xr:uid="{00000000-0006-0000-0800-000004000000}">
      <text>
        <r>
          <rPr>
            <sz val="14"/>
            <color indexed="81"/>
            <rFont val="Tahoma"/>
            <family val="2"/>
          </rPr>
          <t>Si la paire de double comporte 1 ou 2 joueurs différents des joueurs de simples, saisissez le code joueur des nouveaux joueurs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mamajons</author>
  </authors>
  <commentList>
    <comment ref="B12" authorId="0" shapeId="0" xr:uid="{00000000-0006-0000-0A00-000001000000}">
      <text>
        <r>
          <rPr>
            <sz val="14"/>
            <color indexed="81"/>
            <rFont val="Tahoma"/>
            <family val="2"/>
          </rPr>
          <t>Si la paire de double comporte 1 ou 2 joueurs différents des joueurs de simples, saisissez le code joueur des nouveaux joueurs</t>
        </r>
      </text>
    </comment>
    <comment ref="P12" authorId="0" shapeId="0" xr:uid="{00000000-0006-0000-0A00-000002000000}">
      <text>
        <r>
          <rPr>
            <sz val="14"/>
            <color indexed="81"/>
            <rFont val="Tahoma"/>
            <family val="2"/>
          </rPr>
          <t>Si la paire de double comporte 1 ou 2 joueurs différents des joueurs de simples, saisissez le code joueur des nouveaux joueurs</t>
        </r>
      </text>
    </comment>
    <comment ref="B13" authorId="0" shapeId="0" xr:uid="{00000000-0006-0000-0A00-000003000000}">
      <text>
        <r>
          <rPr>
            <sz val="14"/>
            <color indexed="81"/>
            <rFont val="Tahoma"/>
            <family val="2"/>
          </rPr>
          <t>Si la paire de double comporte 1 ou 2 joueurs différents des joueurs de simples, saisissez le code joueur des nouveaux joueurs</t>
        </r>
      </text>
    </comment>
    <comment ref="P13" authorId="0" shapeId="0" xr:uid="{00000000-0006-0000-0A00-000004000000}">
      <text>
        <r>
          <rPr>
            <sz val="14"/>
            <color indexed="81"/>
            <rFont val="Tahoma"/>
            <family val="2"/>
          </rPr>
          <t>Si la paire de double comporte 1 ou 2 joueurs différents des joueurs de simples, saisissez le code joueur des nouveaux joueurs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tc={895FEFC3-7024-4EFC-861E-895EFB2B635C}</author>
    <author>tc={83CE3FDD-D21E-4F95-8F22-B9175AD2BC2E}</author>
  </authors>
  <commentList>
    <comment ref="C349" authorId="0" shapeId="0" xr:uid="{895FEFC3-7024-4EFC-861E-895EFB2B635C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PLUSQUELLEC (cf FFTT)</t>
      </text>
    </comment>
    <comment ref="C353" authorId="1" shapeId="0" xr:uid="{83CE3FDD-D21E-4F95-8F22-B9175AD2BC2E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TYCHKEWITCHE (cf FFTT)</t>
      </text>
    </comment>
  </commentList>
</comments>
</file>

<file path=xl/sharedStrings.xml><?xml version="1.0" encoding="utf-8"?>
<sst xmlns="http://schemas.openxmlformats.org/spreadsheetml/2006/main" count="7397" uniqueCount="2075">
  <si>
    <t>A</t>
  </si>
  <si>
    <t>B</t>
  </si>
  <si>
    <t>C</t>
  </si>
  <si>
    <t>D</t>
  </si>
  <si>
    <t>X</t>
  </si>
  <si>
    <t>Y</t>
  </si>
  <si>
    <t>Z</t>
  </si>
  <si>
    <t>W</t>
  </si>
  <si>
    <t>A - X</t>
  </si>
  <si>
    <t>B - Y</t>
  </si>
  <si>
    <t>B - X</t>
  </si>
  <si>
    <t>A - Y</t>
  </si>
  <si>
    <t>Set 1</t>
  </si>
  <si>
    <t>Set 2</t>
  </si>
  <si>
    <t>Set 3</t>
  </si>
  <si>
    <t>Set 4</t>
  </si>
  <si>
    <t>Set 5</t>
  </si>
  <si>
    <t>C - Z</t>
  </si>
  <si>
    <t>D - Z</t>
  </si>
  <si>
    <t>D - W</t>
  </si>
  <si>
    <t>C - W</t>
  </si>
  <si>
    <t>DOUBLE A</t>
  </si>
  <si>
    <t>DOUBLE B</t>
  </si>
  <si>
    <t>Date prévue</t>
  </si>
  <si>
    <t>Classement</t>
  </si>
  <si>
    <t>NOM</t>
  </si>
  <si>
    <t>PRENOM</t>
  </si>
  <si>
    <t>BAT</t>
  </si>
  <si>
    <t>Poule</t>
  </si>
  <si>
    <t>Date</t>
  </si>
  <si>
    <t>Code joueur</t>
  </si>
  <si>
    <t>V/D</t>
  </si>
  <si>
    <t>vainqueur</t>
  </si>
  <si>
    <t>perdant</t>
  </si>
  <si>
    <t>BARNIER</t>
  </si>
  <si>
    <t>BONNEVIALE</t>
  </si>
  <si>
    <t>DENY</t>
  </si>
  <si>
    <t>TRAULLE</t>
  </si>
  <si>
    <t>HOURMAN</t>
  </si>
  <si>
    <t>LAINE</t>
  </si>
  <si>
    <t>BARON</t>
  </si>
  <si>
    <t>BAUDET</t>
  </si>
  <si>
    <t>DREVET</t>
  </si>
  <si>
    <t>WARTELLE</t>
  </si>
  <si>
    <t>MAZURE</t>
  </si>
  <si>
    <t>VALENTIN</t>
  </si>
  <si>
    <t>TANGUY</t>
  </si>
  <si>
    <t>LE ROUX</t>
  </si>
  <si>
    <t>DUVAL</t>
  </si>
  <si>
    <t>ANDRE</t>
  </si>
  <si>
    <t>BONNEVILLE</t>
  </si>
  <si>
    <t>PAILLER</t>
  </si>
  <si>
    <t>GUILLOTIN</t>
  </si>
  <si>
    <t>COCHELIN</t>
  </si>
  <si>
    <t>DELAMARRE</t>
  </si>
  <si>
    <t>BELLINTANI</t>
  </si>
  <si>
    <t>TISSIEVY</t>
  </si>
  <si>
    <t>STOSSE</t>
  </si>
  <si>
    <t>BRUANDET</t>
  </si>
  <si>
    <t>BERMUDEZ</t>
  </si>
  <si>
    <t>JACQUERY</t>
  </si>
  <si>
    <t>MEUNIER</t>
  </si>
  <si>
    <t>LEISER</t>
  </si>
  <si>
    <t>BORIES</t>
  </si>
  <si>
    <t>FABIEN</t>
  </si>
  <si>
    <t>HAUTY</t>
  </si>
  <si>
    <t>HUNOUT</t>
  </si>
  <si>
    <t>CORGNAC</t>
  </si>
  <si>
    <t>PHILIPS</t>
  </si>
  <si>
    <t>COZ</t>
  </si>
  <si>
    <t>TAVON</t>
  </si>
  <si>
    <t>LENOIR</t>
  </si>
  <si>
    <t>NESME</t>
  </si>
  <si>
    <t>SOUFFLET</t>
  </si>
  <si>
    <t>BECKER</t>
  </si>
  <si>
    <t>BERSOT</t>
  </si>
  <si>
    <t>DIOT</t>
  </si>
  <si>
    <t>FOMBELLE</t>
  </si>
  <si>
    <t>EGO</t>
  </si>
  <si>
    <t>LOF</t>
  </si>
  <si>
    <t>GAUTHIER</t>
  </si>
  <si>
    <t>LEBRUN</t>
  </si>
  <si>
    <t>POGNANT</t>
  </si>
  <si>
    <t>LADEVE</t>
  </si>
  <si>
    <t>BURY</t>
  </si>
  <si>
    <t>LECLERC</t>
  </si>
  <si>
    <t>FEROT</t>
  </si>
  <si>
    <t>DI SALVO</t>
  </si>
  <si>
    <t>DUCHAMP</t>
  </si>
  <si>
    <t>TRANVAN</t>
  </si>
  <si>
    <t>LEGRAS</t>
  </si>
  <si>
    <t>DAGORET</t>
  </si>
  <si>
    <t>PUEYO</t>
  </si>
  <si>
    <t>MATHIES</t>
  </si>
  <si>
    <t>HARTMANN</t>
  </si>
  <si>
    <t>LEFEVRE</t>
  </si>
  <si>
    <t>MONTENEGRO</t>
  </si>
  <si>
    <t>MONGIN</t>
  </si>
  <si>
    <t>CROPSAL</t>
  </si>
  <si>
    <t>DUTILLY</t>
  </si>
  <si>
    <t>OLIVEIRA</t>
  </si>
  <si>
    <t>LIGER</t>
  </si>
  <si>
    <t>GUILLIOMET</t>
  </si>
  <si>
    <t>SOUCHARD</t>
  </si>
  <si>
    <t>LOQUET</t>
  </si>
  <si>
    <t>WALIGORA</t>
  </si>
  <si>
    <t>GUEUTIN</t>
  </si>
  <si>
    <t>MORILLON</t>
  </si>
  <si>
    <t>CROIZE</t>
  </si>
  <si>
    <t>ZHOU</t>
  </si>
  <si>
    <t>LEDUC</t>
  </si>
  <si>
    <t>CLAUSS-COUVREUR-NEU</t>
  </si>
  <si>
    <t>FERMI</t>
  </si>
  <si>
    <t>LUGUET</t>
  </si>
  <si>
    <t>DECORNOY</t>
  </si>
  <si>
    <t>MESTRE</t>
  </si>
  <si>
    <t>LEBORGNE</t>
  </si>
  <si>
    <t>GUESPIN</t>
  </si>
  <si>
    <t>CHABRAISON</t>
  </si>
  <si>
    <t>AKRICH</t>
  </si>
  <si>
    <t>RODRIGUES</t>
  </si>
  <si>
    <t>REGLEMENT</t>
  </si>
  <si>
    <t xml:space="preserve"> - Avant la rencontre, l'attribution des lettres est faite par tirage au sort.</t>
  </si>
  <si>
    <t xml:space="preserve"> - Lorsqu'un joueur est absent, la place vacante doit figurer dans la formation 1</t>
  </si>
  <si>
    <t xml:space="preserve"> - Les matchs ont lieu obligatoirement dans l'ordre prévu.</t>
  </si>
  <si>
    <r>
      <t xml:space="preserve"> - L'envoi de la feuille de rencontre au responsable du championnat, incombe à l'équipe qui reçoit, et cela</t>
    </r>
    <r>
      <rPr>
        <b/>
        <sz val="12"/>
        <color theme="1"/>
        <rFont val="Calibri"/>
        <family val="2"/>
        <scheme val="minor"/>
      </rPr>
      <t xml:space="preserve"> au plus tard dans un délai de 48 heures</t>
    </r>
  </si>
  <si>
    <r>
      <t xml:space="preserve"> - Chaque capitaine désigne ensuite la composition de son équipe, avec présentation </t>
    </r>
    <r>
      <rPr>
        <b/>
        <sz val="12"/>
        <color theme="1"/>
        <rFont val="Calibri"/>
        <family val="2"/>
        <scheme val="minor"/>
      </rPr>
      <t>obligatoire</t>
    </r>
    <r>
      <rPr>
        <sz val="12"/>
        <color theme="1"/>
        <rFont val="Calibri"/>
        <family val="2"/>
        <scheme val="minor"/>
      </rPr>
      <t xml:space="preserve"> des licences.</t>
    </r>
  </si>
  <si>
    <t>Juge Arbitre</t>
  </si>
  <si>
    <t>COULOMMIERS</t>
  </si>
  <si>
    <t>PONTHIERRY</t>
  </si>
  <si>
    <t>SOUPPES</t>
  </si>
  <si>
    <t>CHAMBRY</t>
  </si>
  <si>
    <t>COURTOMER</t>
  </si>
  <si>
    <t>FAVIERES</t>
  </si>
  <si>
    <t>MELUN</t>
  </si>
  <si>
    <t>NOISIEL</t>
  </si>
  <si>
    <t>PROVINS</t>
  </si>
  <si>
    <t>VILLEMER</t>
  </si>
  <si>
    <t>NANGIS</t>
  </si>
  <si>
    <t>NANTOUILLET</t>
  </si>
  <si>
    <t>VOISENON</t>
  </si>
  <si>
    <t>BUSSY</t>
  </si>
  <si>
    <t>CHAINTREAUX</t>
  </si>
  <si>
    <t>COUBERT</t>
  </si>
  <si>
    <t>FERRIERES</t>
  </si>
  <si>
    <t>GRETZ</t>
  </si>
  <si>
    <t>MAROLLES</t>
  </si>
  <si>
    <t>MOUSSY</t>
  </si>
  <si>
    <t>ROZAY</t>
  </si>
  <si>
    <t>SAVIGNY</t>
  </si>
  <si>
    <t>VENEUX</t>
  </si>
  <si>
    <t>VULAINES</t>
  </si>
  <si>
    <t>Code Joueur</t>
  </si>
  <si>
    <t>N° Licence</t>
  </si>
  <si>
    <t>RECEVEUSE</t>
  </si>
  <si>
    <t>EXTERIEUR</t>
  </si>
  <si>
    <t>contre</t>
  </si>
  <si>
    <r>
      <t xml:space="preserve"> - Le juge arbitre est désigné, en commun accord par les capitaines. En cas de litige, c'est le </t>
    </r>
    <r>
      <rPr>
        <b/>
        <sz val="12"/>
        <color theme="1"/>
        <rFont val="Calibri"/>
        <family val="2"/>
        <scheme val="minor"/>
      </rPr>
      <t>capitaine visiteur</t>
    </r>
    <r>
      <rPr>
        <sz val="12"/>
        <color theme="1"/>
        <rFont val="Calibri"/>
        <family val="2"/>
        <scheme val="minor"/>
      </rPr>
      <t xml:space="preserve"> qui remplit cette fonction.</t>
    </r>
  </si>
  <si>
    <t>CLUB</t>
  </si>
  <si>
    <t>barn ste</t>
  </si>
  <si>
    <t>bonn dom</t>
  </si>
  <si>
    <t>deny fra</t>
  </si>
  <si>
    <t>BAUD BAP</t>
  </si>
  <si>
    <t>baud ced</t>
  </si>
  <si>
    <t>hour flo</t>
  </si>
  <si>
    <t>hour phi</t>
  </si>
  <si>
    <t>lain fre</t>
  </si>
  <si>
    <t>trau chr</t>
  </si>
  <si>
    <t>drev cyr</t>
  </si>
  <si>
    <t>mazu mar</t>
  </si>
  <si>
    <t>wart lau</t>
  </si>
  <si>
    <t>andr fab</t>
  </si>
  <si>
    <t>le ro mat</t>
  </si>
  <si>
    <t>tang agn</t>
  </si>
  <si>
    <t>bell pas</t>
  </si>
  <si>
    <t>bonn pas</t>
  </si>
  <si>
    <t>coch xav</t>
  </si>
  <si>
    <t>dela mar</t>
  </si>
  <si>
    <t>guil jph</t>
  </si>
  <si>
    <t>pail pie</t>
  </si>
  <si>
    <t>stos ben</t>
  </si>
  <si>
    <t>tiss pat</t>
  </si>
  <si>
    <t>tiss xav</t>
  </si>
  <si>
    <t>berm jos</t>
  </si>
  <si>
    <t>bori reg</t>
  </si>
  <si>
    <t>brua phi</t>
  </si>
  <si>
    <t>corg jer</t>
  </si>
  <si>
    <t>coz chr</t>
  </si>
  <si>
    <t>fabi dav</t>
  </si>
  <si>
    <t>haut ale</t>
  </si>
  <si>
    <t>huno gui</t>
  </si>
  <si>
    <t>jacq jul</t>
  </si>
  <si>
    <t>leis chr</t>
  </si>
  <si>
    <t>meun pas</t>
  </si>
  <si>
    <t>PHIL MAX</t>
  </si>
  <si>
    <t>tavo lio</t>
  </si>
  <si>
    <t>beck did</t>
  </si>
  <si>
    <t>nesm ber</t>
  </si>
  <si>
    <t>souf ire</t>
  </si>
  <si>
    <t>ego phi</t>
  </si>
  <si>
    <t>fomb eri</t>
  </si>
  <si>
    <t>gaut jam</t>
  </si>
  <si>
    <t>lebr chr</t>
  </si>
  <si>
    <t>lof lio</t>
  </si>
  <si>
    <t>pogn did</t>
  </si>
  <si>
    <t>crop cyr</t>
  </si>
  <si>
    <t>duti ber</t>
  </si>
  <si>
    <t>lefe her</t>
  </si>
  <si>
    <t>mong thi</t>
  </si>
  <si>
    <t>mont chr</t>
  </si>
  <si>
    <t>bury jea</t>
  </si>
  <si>
    <t>dago mat</t>
  </si>
  <si>
    <t>di sa luc</t>
  </si>
  <si>
    <t>duch jer</t>
  </si>
  <si>
    <t>duva luc</t>
  </si>
  <si>
    <t>fero syl</t>
  </si>
  <si>
    <t>lecl nat</t>
  </si>
  <si>
    <t>legr jer</t>
  </si>
  <si>
    <t>leno jad</t>
  </si>
  <si>
    <t>tran isa</t>
  </si>
  <si>
    <t>hart mch</t>
  </si>
  <si>
    <t>math syl</t>
  </si>
  <si>
    <t>puey ann</t>
  </si>
  <si>
    <t>puey jcl</t>
  </si>
  <si>
    <t>croi chr</t>
  </si>
  <si>
    <t/>
  </si>
  <si>
    <t>Code classement</t>
  </si>
  <si>
    <t xml:space="preserve">Cette liste est confidentielle et doit être utilisée uniquement dans le cadre de l'ufolep 77 </t>
  </si>
  <si>
    <t>Equipe extérieure</t>
  </si>
  <si>
    <t>Forfait</t>
  </si>
  <si>
    <t>W.O.</t>
  </si>
  <si>
    <t>POIRIER</t>
  </si>
  <si>
    <t>CLUBS</t>
  </si>
  <si>
    <t>SALLES</t>
  </si>
  <si>
    <t>dominique.bonneviale@yahoo.fr</t>
  </si>
  <si>
    <t>phredo@sfr.fr</t>
  </si>
  <si>
    <t>ascttc@gmail.com</t>
  </si>
  <si>
    <t>ppcferrieres@yahoo.fr</t>
  </si>
  <si>
    <t>ef2@free.fr</t>
  </si>
  <si>
    <t>pueyoajc@orange.fr</t>
  </si>
  <si>
    <r>
      <t>C</t>
    </r>
    <r>
      <rPr>
        <b/>
        <sz val="11"/>
        <color rgb="FF000000"/>
        <rFont val="Times New Roman"/>
        <family val="1"/>
      </rPr>
      <t>H</t>
    </r>
    <r>
      <rPr>
        <b/>
        <sz val="11"/>
        <color rgb="FF000000"/>
        <rFont val="Times New Roman"/>
        <family val="1"/>
      </rPr>
      <t>A</t>
    </r>
    <r>
      <rPr>
        <b/>
        <sz val="11"/>
        <color rgb="FF000000"/>
        <rFont val="Times New Roman"/>
        <family val="1"/>
      </rPr>
      <t>I</t>
    </r>
    <r>
      <rPr>
        <b/>
        <sz val="11"/>
        <color rgb="FF000000"/>
        <rFont val="Times New Roman"/>
        <family val="1"/>
      </rPr>
      <t>N</t>
    </r>
    <r>
      <rPr>
        <b/>
        <sz val="11"/>
        <color rgb="FF000000"/>
        <rFont val="Times New Roman"/>
        <family val="1"/>
      </rPr>
      <t>T</t>
    </r>
    <r>
      <rPr>
        <b/>
        <sz val="11"/>
        <color rgb="FF000000"/>
        <rFont val="Times New Roman"/>
        <family val="1"/>
      </rPr>
      <t>R</t>
    </r>
    <r>
      <rPr>
        <b/>
        <sz val="11"/>
        <color rgb="FF000000"/>
        <rFont val="Times New Roman"/>
        <family val="1"/>
      </rPr>
      <t>E</t>
    </r>
    <r>
      <rPr>
        <b/>
        <sz val="11"/>
        <color rgb="FF000000"/>
        <rFont val="Times New Roman"/>
        <family val="1"/>
      </rPr>
      <t>A</t>
    </r>
    <r>
      <rPr>
        <b/>
        <sz val="11"/>
        <color rgb="FF000000"/>
        <rFont val="Times New Roman"/>
        <family val="1"/>
      </rPr>
      <t>U</t>
    </r>
    <r>
      <rPr>
        <b/>
        <sz val="11"/>
        <color rgb="FF000000"/>
        <rFont val="Times New Roman"/>
        <family val="1"/>
      </rPr>
      <t>X</t>
    </r>
  </si>
  <si>
    <r>
      <t>C</t>
    </r>
    <r>
      <rPr>
        <b/>
        <sz val="11"/>
        <color rgb="FF000000"/>
        <rFont val="Times New Roman"/>
        <family val="1"/>
      </rPr>
      <t>H</t>
    </r>
    <r>
      <rPr>
        <b/>
        <sz val="11"/>
        <color rgb="FF000000"/>
        <rFont val="Times New Roman"/>
        <family val="1"/>
      </rPr>
      <t>A</t>
    </r>
    <r>
      <rPr>
        <b/>
        <sz val="11"/>
        <color rgb="FF000000"/>
        <rFont val="Times New Roman"/>
        <family val="1"/>
      </rPr>
      <t>M</t>
    </r>
    <r>
      <rPr>
        <b/>
        <sz val="11"/>
        <color rgb="FF000000"/>
        <rFont val="Times New Roman"/>
        <family val="1"/>
      </rPr>
      <t>B</t>
    </r>
    <r>
      <rPr>
        <b/>
        <sz val="11"/>
        <color rgb="FF000000"/>
        <rFont val="Times New Roman"/>
        <family val="1"/>
      </rPr>
      <t>R</t>
    </r>
    <r>
      <rPr>
        <b/>
        <sz val="11"/>
        <color rgb="FF000000"/>
        <rFont val="Times New Roman"/>
        <family val="1"/>
      </rPr>
      <t>Y</t>
    </r>
    <r>
      <rPr>
        <sz val="11"/>
        <color rgb="FF000000"/>
        <rFont val="Times New Roman"/>
        <family val="1"/>
      </rPr>
      <t/>
    </r>
  </si>
  <si>
    <r>
      <t>C</t>
    </r>
    <r>
      <rPr>
        <b/>
        <sz val="11"/>
        <color rgb="FF000000"/>
        <rFont val="Times New Roman"/>
        <family val="1"/>
      </rPr>
      <t>O</t>
    </r>
    <r>
      <rPr>
        <b/>
        <sz val="11"/>
        <color rgb="FF000000"/>
        <rFont val="Times New Roman"/>
        <family val="1"/>
      </rPr>
      <t>U</t>
    </r>
    <r>
      <rPr>
        <b/>
        <sz val="11"/>
        <color rgb="FF000000"/>
        <rFont val="Times New Roman"/>
        <family val="1"/>
      </rPr>
      <t>L</t>
    </r>
    <r>
      <rPr>
        <b/>
        <sz val="11"/>
        <color rgb="FF000000"/>
        <rFont val="Times New Roman"/>
        <family val="1"/>
      </rPr>
      <t>O</t>
    </r>
    <r>
      <rPr>
        <b/>
        <sz val="11"/>
        <color rgb="FF000000"/>
        <rFont val="Times New Roman"/>
        <family val="1"/>
      </rPr>
      <t>M</t>
    </r>
    <r>
      <rPr>
        <b/>
        <sz val="11"/>
        <color rgb="FF000000"/>
        <rFont val="Times New Roman"/>
        <family val="1"/>
      </rPr>
      <t>MI</t>
    </r>
    <r>
      <rPr>
        <b/>
        <sz val="11"/>
        <color rgb="FF000000"/>
        <rFont val="Times New Roman"/>
        <family val="1"/>
      </rPr>
      <t>E</t>
    </r>
    <r>
      <rPr>
        <b/>
        <sz val="11"/>
        <color rgb="FF000000"/>
        <rFont val="Times New Roman"/>
        <family val="1"/>
      </rPr>
      <t>R</t>
    </r>
    <r>
      <rPr>
        <b/>
        <sz val="11"/>
        <color rgb="FF000000"/>
        <rFont val="Times New Roman"/>
        <family val="1"/>
      </rPr>
      <t>S</t>
    </r>
  </si>
  <si>
    <r>
      <t>C</t>
    </r>
    <r>
      <rPr>
        <b/>
        <sz val="11"/>
        <color rgb="FF000000"/>
        <rFont val="Times New Roman"/>
        <family val="1"/>
      </rPr>
      <t>O</t>
    </r>
    <r>
      <rPr>
        <b/>
        <sz val="11"/>
        <color rgb="FF000000"/>
        <rFont val="Times New Roman"/>
        <family val="1"/>
      </rPr>
      <t>U</t>
    </r>
    <r>
      <rPr>
        <b/>
        <sz val="11"/>
        <color rgb="FF000000"/>
        <rFont val="Times New Roman"/>
        <family val="1"/>
      </rPr>
      <t>R</t>
    </r>
    <r>
      <rPr>
        <b/>
        <sz val="11"/>
        <color rgb="FF000000"/>
        <rFont val="Times New Roman"/>
        <family val="1"/>
      </rPr>
      <t>T</t>
    </r>
    <r>
      <rPr>
        <b/>
        <sz val="11"/>
        <color rgb="FF000000"/>
        <rFont val="Times New Roman"/>
        <family val="1"/>
      </rPr>
      <t>O</t>
    </r>
    <r>
      <rPr>
        <b/>
        <sz val="11"/>
        <color rgb="FF000000"/>
        <rFont val="Times New Roman"/>
        <family val="1"/>
      </rPr>
      <t>M</t>
    </r>
    <r>
      <rPr>
        <b/>
        <sz val="11"/>
        <color rgb="FF000000"/>
        <rFont val="Times New Roman"/>
        <family val="1"/>
      </rPr>
      <t>E</t>
    </r>
    <r>
      <rPr>
        <b/>
        <sz val="11"/>
        <color rgb="FF000000"/>
        <rFont val="Times New Roman"/>
        <family val="1"/>
      </rPr>
      <t>R</t>
    </r>
    <r>
      <rPr>
        <sz val="11"/>
        <color rgb="FF000000"/>
        <rFont val="Times New Roman"/>
        <family val="1"/>
      </rPr>
      <t/>
    </r>
  </si>
  <si>
    <t>Mettre en copie le Club visiteur :</t>
  </si>
  <si>
    <t>MIREAUX</t>
  </si>
  <si>
    <t>CHARLES</t>
  </si>
  <si>
    <t>PEREIRA ALAOUI</t>
  </si>
  <si>
    <t>Baptiste</t>
  </si>
  <si>
    <t>MIRE JEA</t>
  </si>
  <si>
    <t>CHAR JULI</t>
  </si>
  <si>
    <t>Poussins/Benjamins/Minimes</t>
  </si>
  <si>
    <t>Cadets/Minimes</t>
  </si>
  <si>
    <t>FROMENT</t>
  </si>
  <si>
    <t>SMIALKOWSKI</t>
  </si>
  <si>
    <t>SMIA RAY</t>
  </si>
  <si>
    <t>SIMON</t>
  </si>
  <si>
    <t>UDOVC</t>
  </si>
  <si>
    <t>UDOV SAB</t>
  </si>
  <si>
    <t>UDOV SAM</t>
  </si>
  <si>
    <t>CHAR BRU</t>
  </si>
  <si>
    <t>ROMERO</t>
  </si>
  <si>
    <t>ROME REM</t>
  </si>
  <si>
    <t>DIVISION</t>
  </si>
  <si>
    <t>A -Z</t>
  </si>
  <si>
    <t>C - Y</t>
  </si>
  <si>
    <t>B - Z</t>
  </si>
  <si>
    <t>C- X</t>
  </si>
  <si>
    <t>DROUAULT</t>
  </si>
  <si>
    <t>pascalr2009@gmail.com</t>
  </si>
  <si>
    <t>LASSERE</t>
  </si>
  <si>
    <t>LASS STE</t>
  </si>
  <si>
    <t>Date réelle :</t>
  </si>
  <si>
    <t>Eq. receveuse</t>
  </si>
  <si>
    <t>NOM - Prénom</t>
  </si>
  <si>
    <t>Clt.</t>
  </si>
  <si>
    <t>ABC</t>
  </si>
  <si>
    <t>XYZ</t>
  </si>
  <si>
    <t>Stephane</t>
  </si>
  <si>
    <t>Dominique</t>
  </si>
  <si>
    <t>Franck</t>
  </si>
  <si>
    <t>Nathalie</t>
  </si>
  <si>
    <t>Olivier</t>
  </si>
  <si>
    <t>Pierre</t>
  </si>
  <si>
    <t>Vincent</t>
  </si>
  <si>
    <t>Eric</t>
  </si>
  <si>
    <t>Cedric</t>
  </si>
  <si>
    <t>Fabrice</t>
  </si>
  <si>
    <t>Paul</t>
  </si>
  <si>
    <t>Laurent</t>
  </si>
  <si>
    <t>Alexandre</t>
  </si>
  <si>
    <t>Florian</t>
  </si>
  <si>
    <t>Philippe</t>
  </si>
  <si>
    <t>Christophe</t>
  </si>
  <si>
    <t>Frederic</t>
  </si>
  <si>
    <t>Pascal</t>
  </si>
  <si>
    <t>Romain</t>
  </si>
  <si>
    <t>Nicolas</t>
  </si>
  <si>
    <t>Christian</t>
  </si>
  <si>
    <t>Manuel</t>
  </si>
  <si>
    <t>Adrien</t>
  </si>
  <si>
    <t>David</t>
  </si>
  <si>
    <t>Cyril</t>
  </si>
  <si>
    <t>Lucas</t>
  </si>
  <si>
    <t>Jerome</t>
  </si>
  <si>
    <t>Victor</t>
  </si>
  <si>
    <t>Valentin</t>
  </si>
  <si>
    <t>Guillaume</t>
  </si>
  <si>
    <t>Marc</t>
  </si>
  <si>
    <t>Thierry</t>
  </si>
  <si>
    <t>Alain</t>
  </si>
  <si>
    <t>Jeremy</t>
  </si>
  <si>
    <t>Patrice</t>
  </si>
  <si>
    <t>Emmanuel</t>
  </si>
  <si>
    <t>Julien</t>
  </si>
  <si>
    <t>Antoine</t>
  </si>
  <si>
    <t>Aymeric</t>
  </si>
  <si>
    <t>Thomas</t>
  </si>
  <si>
    <t>Gerard</t>
  </si>
  <si>
    <t>Didier</t>
  </si>
  <si>
    <t>Mathieu</t>
  </si>
  <si>
    <t>Jean</t>
  </si>
  <si>
    <t>Nathan</t>
  </si>
  <si>
    <t>Agnes</t>
  </si>
  <si>
    <t>Sabine</t>
  </si>
  <si>
    <t>Samantha</t>
  </si>
  <si>
    <t>Bruno</t>
  </si>
  <si>
    <t>Julie</t>
  </si>
  <si>
    <t>Xavier</t>
  </si>
  <si>
    <t>Jean Philippe</t>
  </si>
  <si>
    <t>Herve</t>
  </si>
  <si>
    <t>Francois</t>
  </si>
  <si>
    <t>Regis</t>
  </si>
  <si>
    <t>Benjamin</t>
  </si>
  <si>
    <t>Jose</t>
  </si>
  <si>
    <t>Michel</t>
  </si>
  <si>
    <t>Bernard</t>
  </si>
  <si>
    <t>Maxime</t>
  </si>
  <si>
    <t>Lionel</t>
  </si>
  <si>
    <t>Francis</t>
  </si>
  <si>
    <t>Stevan</t>
  </si>
  <si>
    <t>Isabelle</t>
  </si>
  <si>
    <t>Irene</t>
  </si>
  <si>
    <t>Sylvain</t>
  </si>
  <si>
    <t>Raymond</t>
  </si>
  <si>
    <t>James</t>
  </si>
  <si>
    <t>Jean Claude</t>
  </si>
  <si>
    <t>Remi</t>
  </si>
  <si>
    <t>Matthieu</t>
  </si>
  <si>
    <t>Stephanie</t>
  </si>
  <si>
    <t>Luca</t>
  </si>
  <si>
    <t>Luc</t>
  </si>
  <si>
    <t>Jade</t>
  </si>
  <si>
    <t>Tristan</t>
  </si>
  <si>
    <t>Marie Christine</t>
  </si>
  <si>
    <t>Annette</t>
  </si>
  <si>
    <t>Mathis</t>
  </si>
  <si>
    <t>Jean-Pierre</t>
  </si>
  <si>
    <t>Marion</t>
  </si>
  <si>
    <t>Anne</t>
  </si>
  <si>
    <t>Adam</t>
  </si>
  <si>
    <t>Eloi</t>
  </si>
  <si>
    <t>Zhiyang</t>
  </si>
  <si>
    <t>Christine</t>
  </si>
  <si>
    <t>Gabriel</t>
  </si>
  <si>
    <t>Anthony</t>
  </si>
  <si>
    <t>Titouan</t>
  </si>
  <si>
    <t>Licence</t>
  </si>
  <si>
    <t xml:space="preserve">Journée </t>
  </si>
  <si>
    <t xml:space="preserve">RESULTAT </t>
  </si>
  <si>
    <t>Code</t>
  </si>
  <si>
    <t>Remarque</t>
  </si>
  <si>
    <t>Sélectionner les équipes et et numeros</t>
  </si>
  <si>
    <t>Selectionner la journée, la division et la poule et la date rélle si différente de la date prévue officiellemnt</t>
  </si>
  <si>
    <t>Si joueur inconnu ne pas mettre de code et saisir Nom prenom directement</t>
  </si>
  <si>
    <t>Si joueur forfait saisir 0 (zéro) pour code, pas de score à sasir, le tableau se remplira automatiqement</t>
  </si>
  <si>
    <t xml:space="preserve">Saisir les codes de chaque joueur, utiliser la liste ci-dessous apres avoir selectionne le club </t>
  </si>
  <si>
    <t xml:space="preserve">Indiquer un score positif si c'est le joueur à domicile qui gagne le set et  un score négatif si le joueur extérieur gagne le set. </t>
  </si>
  <si>
    <r>
      <rPr>
        <b/>
        <sz val="14"/>
        <color theme="1"/>
        <rFont val="Calibri"/>
        <family val="2"/>
        <scheme val="minor"/>
      </rPr>
      <t>RESERVES</t>
    </r>
    <r>
      <rPr>
        <sz val="12"/>
        <color theme="1"/>
        <rFont val="Calibri"/>
        <family val="2"/>
        <scheme val="minor"/>
      </rPr>
      <t xml:space="preserve"> (à faire avant la rencontre par le capitaine réclamant en présence du capitaine adverse)</t>
    </r>
  </si>
  <si>
    <r>
      <rPr>
        <b/>
        <sz val="14"/>
        <color theme="1"/>
        <rFont val="Calibri"/>
        <family val="2"/>
        <scheme val="minor"/>
      </rPr>
      <t>RECLAMATIONS</t>
    </r>
    <r>
      <rPr>
        <sz val="18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(à faire par le réclamant au cours de la rencontre ou après celle-ci)</t>
    </r>
  </si>
  <si>
    <t>Division</t>
  </si>
  <si>
    <t>Excellence</t>
  </si>
  <si>
    <t>Div 2</t>
  </si>
  <si>
    <t>Div 3</t>
  </si>
  <si>
    <t>Numero</t>
  </si>
  <si>
    <t>Nord</t>
  </si>
  <si>
    <t>Sud</t>
  </si>
  <si>
    <t>Journée</t>
  </si>
  <si>
    <t>A B</t>
  </si>
  <si>
    <t>XY</t>
  </si>
  <si>
    <t>Total partie A</t>
  </si>
  <si>
    <t>Total partie B</t>
  </si>
  <si>
    <t>C D</t>
  </si>
  <si>
    <t>Z W</t>
  </si>
  <si>
    <t>Si abandon d'un joueur avant de commencer la partie saisir 99 (ou -99) dans la case du premier set uniquement et pour tous ses matches suivants</t>
  </si>
  <si>
    <t>Si abandon d'un joueur en cours de partie mettre 88 (ou -88) dans la case du premer set uniquement et pour tous ses matches suivants.</t>
  </si>
  <si>
    <t>Finale</t>
  </si>
  <si>
    <t>RESULTAT</t>
  </si>
  <si>
    <t>SuperDiv</t>
  </si>
  <si>
    <t xml:space="preserve">       PARTIE A (victoire en Simple 4 pts,  en double 6 pts / en Super Div victoire en Simple 1pt,  en double 2 pts)</t>
  </si>
  <si>
    <t>PARTIE B (victoire en Simple 3 pts,  en double 5 pts / en Super Div victoire en Simple 1pt,  en double 2 pts)</t>
  </si>
  <si>
    <t>SAUVER FICHIER SOUS</t>
  </si>
  <si>
    <t>Div 1</t>
  </si>
  <si>
    <t>9 et Finale</t>
  </si>
  <si>
    <t>Un joueur déclarant forfait l'est également pour les matches suivants de la rencontre</t>
  </si>
  <si>
    <t xml:space="preserve">Partie </t>
  </si>
  <si>
    <t>Arbitre</t>
  </si>
  <si>
    <t>Table n°</t>
  </si>
  <si>
    <t>(Y)</t>
  </si>
  <si>
    <t>(X)</t>
  </si>
  <si>
    <t>(A)</t>
  </si>
  <si>
    <t>B)</t>
  </si>
  <si>
    <t>(W)</t>
  </si>
  <si>
    <t>(Z)</t>
  </si>
  <si>
    <t>( C)</t>
  </si>
  <si>
    <t>(D)</t>
  </si>
  <si>
    <t>Honneur</t>
  </si>
  <si>
    <t>NOTICE : Important toujours utiliser une feuille de match originale</t>
  </si>
  <si>
    <r>
      <t>NOTICE : Important</t>
    </r>
    <r>
      <rPr>
        <sz val="10"/>
        <color theme="1"/>
        <rFont val="Calibri"/>
        <family val="2"/>
        <scheme val="minor"/>
      </rPr>
      <t xml:space="preserve"> toujours utiliser une feuille de match originale</t>
    </r>
  </si>
  <si>
    <t>Envoyer sous format EXCEL la feuille de résultat</t>
  </si>
  <si>
    <t>Sur les feuilles d'arbitrage  fournies à titre indicatif les noms des joueurs sont ajoutés automatiquement</t>
  </si>
  <si>
    <t>Unique</t>
  </si>
  <si>
    <t>Senthil</t>
  </si>
  <si>
    <t>patricetissievy@hotmail.com</t>
  </si>
  <si>
    <t>Equipe visiteuse</t>
  </si>
  <si>
    <t>Equipe receveuse</t>
  </si>
  <si>
    <t xml:space="preserve">reçoit </t>
  </si>
  <si>
    <t>journée</t>
  </si>
  <si>
    <t>A – X  ( 1-A )</t>
  </si>
  <si>
    <t>B – Y  ( 2-A )</t>
  </si>
  <si>
    <t>B – X  ( 3-A )</t>
  </si>
  <si>
    <t>A – Y  ( 4-A )</t>
  </si>
  <si>
    <t>DOUBLE A  ( 5-A )</t>
  </si>
  <si>
    <t>C – Z  ( 1-B )</t>
  </si>
  <si>
    <t>D – W  ( 2-B )</t>
  </si>
  <si>
    <t>DOUBLE B  ( 3-B )</t>
  </si>
  <si>
    <t>D-Z  ( 4-B )</t>
  </si>
  <si>
    <t xml:space="preserve"> </t>
  </si>
  <si>
    <t>C-W  ( 5-B )</t>
  </si>
  <si>
    <t>VILLAIN</t>
  </si>
  <si>
    <t>alain.guillomet@orange.fr</t>
  </si>
  <si>
    <t>VARENGUIN</t>
  </si>
  <si>
    <r>
      <rPr>
        <b/>
        <u/>
        <sz val="10"/>
        <color theme="1"/>
        <rFont val="Calibri (Corps)"/>
      </rPr>
      <t>IMPORTANT</t>
    </r>
    <r>
      <rPr>
        <sz val="10"/>
        <color theme="1"/>
        <rFont val="Calibri"/>
        <family val="2"/>
        <scheme val="minor"/>
      </rPr>
      <t xml:space="preserve"> : Envoyer la feuille de match au responsable du Championnat Jeunes :</t>
    </r>
    <r>
      <rPr>
        <sz val="9"/>
        <color theme="1"/>
        <rFont val="Calibri"/>
        <family val="2"/>
        <scheme val="minor"/>
      </rPr>
      <t xml:space="preserve"> </t>
    </r>
    <r>
      <rPr>
        <b/>
        <sz val="10"/>
        <color rgb="FFFF0000"/>
        <rFont val="Calibri"/>
        <family val="2"/>
        <scheme val="minor"/>
      </rPr>
      <t>Alain GUILLOMET 06 71 86 04 86</t>
    </r>
  </si>
  <si>
    <t>Selectionner la journée, la division et la poule et la date rélle si différente de la date prévue officiellement</t>
  </si>
  <si>
    <t>CHOPINET</t>
  </si>
  <si>
    <t>OLIVIER</t>
  </si>
  <si>
    <t>chop oli</t>
  </si>
  <si>
    <t>LANDREAT</t>
  </si>
  <si>
    <t>Stéphane</t>
  </si>
  <si>
    <t>Nolan</t>
  </si>
  <si>
    <t>COELHO</t>
  </si>
  <si>
    <t>COEL ANT</t>
  </si>
  <si>
    <t>BOUTIN COLIN</t>
  </si>
  <si>
    <t>LALARME</t>
  </si>
  <si>
    <t>FAVREAU</t>
  </si>
  <si>
    <t>FAVR CEL</t>
  </si>
  <si>
    <t>Celian</t>
  </si>
  <si>
    <t>HEZER</t>
  </si>
  <si>
    <t>Murat</t>
  </si>
  <si>
    <t>heze mur</t>
  </si>
  <si>
    <t>clau tri</t>
  </si>
  <si>
    <t>Matteo</t>
  </si>
  <si>
    <t>Catégorie</t>
  </si>
  <si>
    <t xml:space="preserve">       (victoire en Simple 1 pt,  en double 1 pt)</t>
  </si>
  <si>
    <t>Double</t>
  </si>
  <si>
    <t>Total points</t>
  </si>
  <si>
    <r>
      <rPr>
        <b/>
        <u/>
        <sz val="10"/>
        <color theme="1"/>
        <rFont val="Calibri (Corps)"/>
      </rPr>
      <t>IMPORTANT</t>
    </r>
    <r>
      <rPr>
        <sz val="10"/>
        <color theme="1"/>
        <rFont val="Calibri"/>
        <family val="2"/>
        <scheme val="minor"/>
      </rPr>
      <t xml:space="preserve"> : Envoyer la feuille de match au responsable des Coupes Départementales : </t>
    </r>
    <r>
      <rPr>
        <b/>
        <sz val="10"/>
        <color rgb="FFFF0000"/>
        <rFont val="Calibri"/>
        <family val="2"/>
        <scheme val="minor"/>
      </rPr>
      <t>Jerôme GUIGNARD</t>
    </r>
    <r>
      <rPr>
        <sz val="10"/>
        <color theme="1"/>
        <rFont val="Calibri"/>
        <family val="2"/>
        <scheme val="minor"/>
      </rPr>
      <t xml:space="preserve"> mail </t>
    </r>
    <r>
      <rPr>
        <b/>
        <sz val="10"/>
        <color rgb="FFFF0000"/>
        <rFont val="Calibri"/>
        <family val="2"/>
        <scheme val="minor"/>
      </rPr>
      <t>csctt@wanadoo.fr</t>
    </r>
  </si>
  <si>
    <t>Coupe Mr N°1 Cl 500 à 699</t>
  </si>
  <si>
    <t>Coupe Mr N°2 Cl 700 à 899</t>
  </si>
  <si>
    <t>Coupe Mr N°3 Cl 900 à 1299</t>
  </si>
  <si>
    <t>Coupe Mr N°4 Cl 1300 à 1699</t>
  </si>
  <si>
    <t>Coupe Vétérans</t>
  </si>
  <si>
    <t>Coupe Féminines</t>
  </si>
  <si>
    <t>Coupe Mixte</t>
  </si>
  <si>
    <t>Jeunes Cadets</t>
  </si>
  <si>
    <t>Jeunes Minimes</t>
  </si>
  <si>
    <t>Selectionner la journée, la catégorie et la date rélle si différente de la date prévue officiellemnt</t>
  </si>
  <si>
    <t xml:space="preserve">Saisir les codes de chaque joueur, utiliser la liste ci-dessous après avoir selectionne le club </t>
  </si>
  <si>
    <r>
      <rPr>
        <b/>
        <u/>
        <sz val="10"/>
        <color theme="1"/>
        <rFont val="Calibri (Corps)"/>
      </rPr>
      <t>IMPORTANT</t>
    </r>
    <r>
      <rPr>
        <sz val="10"/>
        <color theme="1"/>
        <rFont val="Calibri"/>
        <family val="2"/>
        <scheme val="minor"/>
      </rPr>
      <t xml:space="preserve"> : Envoyer la feuille de match au responsable des Coupes Nationales:</t>
    </r>
    <r>
      <rPr>
        <sz val="9"/>
        <color theme="1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Alain GUILLOMET</t>
    </r>
    <r>
      <rPr>
        <b/>
        <sz val="10"/>
        <color rgb="FFFF0000"/>
        <rFont val="Calibri"/>
        <family val="2"/>
        <scheme val="minor"/>
      </rPr>
      <t xml:space="preserve"> 06 71 86 04 86</t>
    </r>
  </si>
  <si>
    <t>Coupes Messieurs</t>
  </si>
  <si>
    <t>Coupes Dames</t>
  </si>
  <si>
    <t>Coupes Jeunes</t>
  </si>
  <si>
    <t>Marquer 0,1 ou -0,1 lorsqu'un des joueurs gagne 11/0 en respectant le signe indiqué au dessus, 0 sera alors affiché</t>
  </si>
  <si>
    <t>A – X</t>
  </si>
  <si>
    <t>B – Y</t>
  </si>
  <si>
    <t>B – X</t>
  </si>
  <si>
    <t>DOUBLE</t>
  </si>
  <si>
    <t>A – Y</t>
  </si>
  <si>
    <t>ENT SOU/NEM/CHA</t>
  </si>
  <si>
    <t>Licence ?</t>
  </si>
  <si>
    <t>Sophie</t>
  </si>
  <si>
    <t>Rémi</t>
  </si>
  <si>
    <t>MARIE</t>
  </si>
  <si>
    <t>AGRON</t>
  </si>
  <si>
    <t>AGRO PAT</t>
  </si>
  <si>
    <t>MONTHYON</t>
  </si>
  <si>
    <t>Alexandrien</t>
  </si>
  <si>
    <t>Maximilien</t>
  </si>
  <si>
    <t>LASS ALE</t>
  </si>
  <si>
    <t>LASS MAX</t>
  </si>
  <si>
    <t>Hervé</t>
  </si>
  <si>
    <t>CAPRAIS</t>
  </si>
  <si>
    <t>CAPR THO</t>
  </si>
  <si>
    <t>BOURASSIN</t>
  </si>
  <si>
    <t>BOUR BRU</t>
  </si>
  <si>
    <t>ENT SOU/NEM</t>
  </si>
  <si>
    <t>wartelle_laurent@orange.fr</t>
  </si>
  <si>
    <t>DEJOIE</t>
  </si>
  <si>
    <t>DEJO GER</t>
  </si>
  <si>
    <t>COEV PHI</t>
  </si>
  <si>
    <t>Forf W.O</t>
  </si>
  <si>
    <t>bout phi</t>
  </si>
  <si>
    <t>BOUTIN</t>
  </si>
  <si>
    <t>HOULIER</t>
  </si>
  <si>
    <t>CEBALLOS</t>
  </si>
  <si>
    <t>Lise</t>
  </si>
  <si>
    <t>CEBA LIS</t>
  </si>
  <si>
    <t>Elodie</t>
  </si>
  <si>
    <t>Frédéric</t>
  </si>
  <si>
    <t>DUBREUIL</t>
  </si>
  <si>
    <r>
      <rPr>
        <b/>
        <u/>
        <sz val="10"/>
        <color theme="1"/>
        <rFont val="Calibri (Corps)"/>
      </rPr>
      <t>IMPORTANT</t>
    </r>
    <r>
      <rPr>
        <sz val="10"/>
        <color theme="1"/>
        <rFont val="Calibri"/>
        <family val="2"/>
        <scheme val="minor"/>
      </rPr>
      <t xml:space="preserve"> : Envoyer la feuille de match au responsable du Championnat à Trois : </t>
    </r>
    <r>
      <rPr>
        <b/>
        <sz val="10"/>
        <color rgb="FFFF0000"/>
        <rFont val="Calibri"/>
        <family val="2"/>
        <scheme val="minor"/>
      </rPr>
      <t>Jerôme GUIGNARD</t>
    </r>
    <r>
      <rPr>
        <sz val="10"/>
        <color theme="1"/>
        <rFont val="Calibri"/>
        <family val="2"/>
        <scheme val="minor"/>
      </rPr>
      <t xml:space="preserve"> mail </t>
    </r>
    <r>
      <rPr>
        <b/>
        <sz val="10"/>
        <color rgb="FFFF0000"/>
        <rFont val="Calibri"/>
        <family val="2"/>
        <scheme val="minor"/>
      </rPr>
      <t>csctt@wanadoo.fr</t>
    </r>
  </si>
  <si>
    <t>(victoire en simple 1 pt, en double 2 pt)</t>
  </si>
  <si>
    <t xml:space="preserve">Total </t>
  </si>
  <si>
    <t>Jour</t>
  </si>
  <si>
    <t>CD 1er tour</t>
  </si>
  <si>
    <t>CD 2e tour</t>
  </si>
  <si>
    <t>CD Jeune T1</t>
  </si>
  <si>
    <t>Cd Jeune T2</t>
  </si>
  <si>
    <t>Promotion Honneur</t>
  </si>
  <si>
    <t>SIRVIN</t>
  </si>
  <si>
    <t>SIRV CHR</t>
  </si>
  <si>
    <t>from nat</t>
  </si>
  <si>
    <t>simo eri</t>
  </si>
  <si>
    <t>till sen</t>
  </si>
  <si>
    <t>baro aym</t>
  </si>
  <si>
    <t>BOUT VIN</t>
  </si>
  <si>
    <t>chab ste</t>
  </si>
  <si>
    <t>VARE PIE</t>
  </si>
  <si>
    <t>land ste</t>
  </si>
  <si>
    <t>vill vin</t>
  </si>
  <si>
    <t>ferm jpi</t>
  </si>
  <si>
    <t>gueu thi</t>
  </si>
  <si>
    <t>guil ala</t>
  </si>
  <si>
    <t>HOUL VIN</t>
  </si>
  <si>
    <t>LALA Gui</t>
  </si>
  <si>
    <t>ledu jcl</t>
  </si>
  <si>
    <t>lige pas</t>
  </si>
  <si>
    <t>loqu mar</t>
  </si>
  <si>
    <t>lugu vin</t>
  </si>
  <si>
    <t>mori ann</t>
  </si>
  <si>
    <t>mori fra</t>
  </si>
  <si>
    <t>oliv tho</t>
  </si>
  <si>
    <t>PERE ADA</t>
  </si>
  <si>
    <t>POIR DAV</t>
  </si>
  <si>
    <t>souc elo</t>
  </si>
  <si>
    <t>vale tit</t>
  </si>
  <si>
    <t>wali emm</t>
  </si>
  <si>
    <t>zhou zhi</t>
  </si>
  <si>
    <t>croi ala</t>
  </si>
  <si>
    <t>deco chr</t>
  </si>
  <si>
    <t>gues eri</t>
  </si>
  <si>
    <t>lebo chr</t>
  </si>
  <si>
    <t>mest man</t>
  </si>
  <si>
    <t>AKRI PAU</t>
  </si>
  <si>
    <t>DROU CHR</t>
  </si>
  <si>
    <t>dago fra</t>
  </si>
  <si>
    <t>rodr val</t>
  </si>
  <si>
    <t>Pascale</t>
  </si>
  <si>
    <t>MARI PAS</t>
  </si>
  <si>
    <t>Maxence</t>
  </si>
  <si>
    <t>HAG</t>
  </si>
  <si>
    <t>HAG Jul</t>
  </si>
  <si>
    <t>Trystan</t>
  </si>
  <si>
    <t>leno pas</t>
  </si>
  <si>
    <t>nesm bru</t>
  </si>
  <si>
    <t>Louis</t>
  </si>
  <si>
    <t>Liam</t>
  </si>
  <si>
    <t>Ysee</t>
  </si>
  <si>
    <t>tang yse</t>
  </si>
  <si>
    <t>MENARD</t>
  </si>
  <si>
    <t>MENA Dom</t>
  </si>
  <si>
    <t>JULLEMIER</t>
  </si>
  <si>
    <t>Léopold</t>
  </si>
  <si>
    <t>jull leo</t>
  </si>
  <si>
    <t>Jules</t>
  </si>
  <si>
    <t>Sacha</t>
  </si>
  <si>
    <t>PAYSAL</t>
  </si>
  <si>
    <t>PAYS FRE</t>
  </si>
  <si>
    <t>PEYRIND</t>
  </si>
  <si>
    <t>PEYR STE</t>
  </si>
  <si>
    <t>JOUY SUR MORIN</t>
  </si>
  <si>
    <t>MUTTER</t>
  </si>
  <si>
    <t>MUTT ELO</t>
  </si>
  <si>
    <t>POUZET</t>
  </si>
  <si>
    <t>BREBION</t>
  </si>
  <si>
    <t>GIBLIN</t>
  </si>
  <si>
    <t>MAURY</t>
  </si>
  <si>
    <t>SMILA</t>
  </si>
  <si>
    <t>Dorian</t>
  </si>
  <si>
    <t>Lorenzo</t>
  </si>
  <si>
    <t>Djulian</t>
  </si>
  <si>
    <t>Noha</t>
  </si>
  <si>
    <t>POUZ Nol</t>
  </si>
  <si>
    <t>FAVR Max</t>
  </si>
  <si>
    <t>BREB Bru</t>
  </si>
  <si>
    <t>GIBL Dju</t>
  </si>
  <si>
    <t>MAUR Mat</t>
  </si>
  <si>
    <t>SMIL Noh</t>
  </si>
  <si>
    <t>DI SA Lor</t>
  </si>
  <si>
    <t>DI SA Mat</t>
  </si>
  <si>
    <t>BLANCHARD</t>
  </si>
  <si>
    <t>POULIQUEN</t>
  </si>
  <si>
    <t>Louka</t>
  </si>
  <si>
    <t>William</t>
  </si>
  <si>
    <t>Elise</t>
  </si>
  <si>
    <t>Jérôme</t>
  </si>
  <si>
    <t>BERS ANT</t>
  </si>
  <si>
    <t>BLAN THI</t>
  </si>
  <si>
    <t>BOUT LOU</t>
  </si>
  <si>
    <t>POUL ELI</t>
  </si>
  <si>
    <t>POUL MAT</t>
  </si>
  <si>
    <t>RODR LOU</t>
  </si>
  <si>
    <t>isatranvan@gmail.com</t>
  </si>
  <si>
    <t>HOUSSAIS</t>
  </si>
  <si>
    <t>SEMELAGNE-BONTOUR</t>
  </si>
  <si>
    <t>Dimitri</t>
  </si>
  <si>
    <t>Céline</t>
  </si>
  <si>
    <t>Yanis</t>
  </si>
  <si>
    <t>DIOT Tho</t>
  </si>
  <si>
    <t>HOUS Mic</t>
  </si>
  <si>
    <t>DIOT Ant</t>
  </si>
  <si>
    <t>SEME Yan</t>
  </si>
  <si>
    <t>BERTINOTTI</t>
  </si>
  <si>
    <t>AVRIL</t>
  </si>
  <si>
    <t>DERISBOURG</t>
  </si>
  <si>
    <t>GRAUER</t>
  </si>
  <si>
    <t>LESAGE</t>
  </si>
  <si>
    <t>MARTIN</t>
  </si>
  <si>
    <t>BONANNI</t>
  </si>
  <si>
    <t>Sébastien</t>
  </si>
  <si>
    <t>René</t>
  </si>
  <si>
    <t>Léo</t>
  </si>
  <si>
    <t>BERT REN</t>
  </si>
  <si>
    <t>AVRI ROM</t>
  </si>
  <si>
    <t>DERI STE</t>
  </si>
  <si>
    <t>GRAU SAC</t>
  </si>
  <si>
    <t>LESA CHR</t>
  </si>
  <si>
    <t>BONA LUC</t>
  </si>
  <si>
    <t>TILLENAYAGANE</t>
  </si>
  <si>
    <t>DUBR HER</t>
  </si>
  <si>
    <t>QUINCY</t>
  </si>
  <si>
    <t>DONNOT</t>
  </si>
  <si>
    <t>POISNEUF</t>
  </si>
  <si>
    <t>FORTIN</t>
  </si>
  <si>
    <t>IMBERT</t>
  </si>
  <si>
    <t>LEMARCHAND</t>
  </si>
  <si>
    <t>BORDAGE</t>
  </si>
  <si>
    <t>Jean-Luc</t>
  </si>
  <si>
    <t>Cédric</t>
  </si>
  <si>
    <t>Emeric</t>
  </si>
  <si>
    <t>Diego</t>
  </si>
  <si>
    <t>Enzo</t>
  </si>
  <si>
    <t>Jean-Yves</t>
  </si>
  <si>
    <t>DONN BEN</t>
  </si>
  <si>
    <t>POIS JLU</t>
  </si>
  <si>
    <t>FORT CED</t>
  </si>
  <si>
    <t>IMBE EME</t>
  </si>
  <si>
    <t>LEMA GAB</t>
  </si>
  <si>
    <t>BORD JYV</t>
  </si>
  <si>
    <t>AMAR</t>
  </si>
  <si>
    <t>AMAR JUL</t>
  </si>
  <si>
    <t>SEMELAGNE</t>
  </si>
  <si>
    <t>Alexis</t>
  </si>
  <si>
    <t>SEME ALE</t>
  </si>
  <si>
    <t>GRAU CHR</t>
  </si>
  <si>
    <t>max</t>
  </si>
  <si>
    <t>min</t>
  </si>
  <si>
    <t>as.tennisdetable@orange.fr</t>
  </si>
  <si>
    <t>BRAUD</t>
  </si>
  <si>
    <t>BOIS</t>
  </si>
  <si>
    <t>Mélanie</t>
  </si>
  <si>
    <t>BOIS MEL</t>
  </si>
  <si>
    <t>BRAU SEB</t>
  </si>
  <si>
    <t>JACQUINOT</t>
  </si>
  <si>
    <t>GARINET</t>
  </si>
  <si>
    <t>LETUVE</t>
  </si>
  <si>
    <t>MARC</t>
  </si>
  <si>
    <t>DELHOUM</t>
  </si>
  <si>
    <t>JACQ BOYER</t>
  </si>
  <si>
    <t>MACQUET</t>
  </si>
  <si>
    <t>THEVENET</t>
  </si>
  <si>
    <t>ROUSSEAU</t>
  </si>
  <si>
    <t>NICOLAIEFF</t>
  </si>
  <si>
    <t>COCH CEL</t>
  </si>
  <si>
    <t>PEYR CLA</t>
  </si>
  <si>
    <t>GARI VIN</t>
  </si>
  <si>
    <t>LETU SAN</t>
  </si>
  <si>
    <t>MARC LAU</t>
  </si>
  <si>
    <t>DELH KEN</t>
  </si>
  <si>
    <t>JACQ ANT</t>
  </si>
  <si>
    <t>THEV PHI</t>
  </si>
  <si>
    <t>ROUS PAS</t>
  </si>
  <si>
    <t>NICO ALB</t>
  </si>
  <si>
    <t>Clara</t>
  </si>
  <si>
    <t>Sandy</t>
  </si>
  <si>
    <t>Kylian</t>
  </si>
  <si>
    <t>Kenza</t>
  </si>
  <si>
    <t>Alban</t>
  </si>
  <si>
    <t>VAVASSEUR-DESPERRIERS</t>
  </si>
  <si>
    <t>SYRYKHANE</t>
  </si>
  <si>
    <t>COURREGELONGUE</t>
  </si>
  <si>
    <t>COUSSEAU</t>
  </si>
  <si>
    <t>DUQUESNE</t>
  </si>
  <si>
    <t>COSSON</t>
  </si>
  <si>
    <t>GUILLERM</t>
  </si>
  <si>
    <t>LESEIGNEUR</t>
  </si>
  <si>
    <t>SIHLE</t>
  </si>
  <si>
    <t>Armand</t>
  </si>
  <si>
    <t>Bounmy</t>
  </si>
  <si>
    <t>Edouard</t>
  </si>
  <si>
    <t>Ethan</t>
  </si>
  <si>
    <t>Charlie</t>
  </si>
  <si>
    <t>Lucie</t>
  </si>
  <si>
    <t>VAVA Arm</t>
  </si>
  <si>
    <t>PAIL Her</t>
  </si>
  <si>
    <t>SYRY Bou</t>
  </si>
  <si>
    <t>BECK Ala</t>
  </si>
  <si>
    <t>COUR Edo</t>
  </si>
  <si>
    <t>COUS Adr</t>
  </si>
  <si>
    <t>DUQU Max</t>
  </si>
  <si>
    <t>COSS Tho</t>
  </si>
  <si>
    <t>GRAU Lia</t>
  </si>
  <si>
    <t>GUIL Cha</t>
  </si>
  <si>
    <t>LESE Phi</t>
  </si>
  <si>
    <t>OLIV Phi</t>
  </si>
  <si>
    <t>SIHL Nic</t>
  </si>
  <si>
    <t>BERU Rom</t>
  </si>
  <si>
    <t>FAURE</t>
  </si>
  <si>
    <t>FOLLI</t>
  </si>
  <si>
    <t>GRES</t>
  </si>
  <si>
    <t>MATHE</t>
  </si>
  <si>
    <t>THIBAUT</t>
  </si>
  <si>
    <t>LASSUYT</t>
  </si>
  <si>
    <t>DAS NEVES</t>
  </si>
  <si>
    <t>DROUHIN</t>
  </si>
  <si>
    <t>PUZONE</t>
  </si>
  <si>
    <t>BRICOUT</t>
  </si>
  <si>
    <t>THILLAUX</t>
  </si>
  <si>
    <t>THORET LESESTRE</t>
  </si>
  <si>
    <t>BOUCHER</t>
  </si>
  <si>
    <t>DE SMET</t>
  </si>
  <si>
    <t>DESASSIS</t>
  </si>
  <si>
    <t>GONCALVES</t>
  </si>
  <si>
    <t>TAYMANS</t>
  </si>
  <si>
    <t>BERUET</t>
  </si>
  <si>
    <t>CANDIOTTI</t>
  </si>
  <si>
    <t>Ulysse</t>
  </si>
  <si>
    <t>Kilian</t>
  </si>
  <si>
    <t>Sylvie</t>
  </si>
  <si>
    <t>Maël</t>
  </si>
  <si>
    <t>Salvatore</t>
  </si>
  <si>
    <t>Mathias</t>
  </si>
  <si>
    <t>Nolhan</t>
  </si>
  <si>
    <t>Theo</t>
  </si>
  <si>
    <t>Claude</t>
  </si>
  <si>
    <t>Donnatien</t>
  </si>
  <si>
    <t>Hector</t>
  </si>
  <si>
    <t>Léonie</t>
  </si>
  <si>
    <t>Joël</t>
  </si>
  <si>
    <t>Noé</t>
  </si>
  <si>
    <t>FAUR Thi</t>
  </si>
  <si>
    <t>DAGO Gui</t>
  </si>
  <si>
    <t>GRES Gab</t>
  </si>
  <si>
    <t>MATH Uly</t>
  </si>
  <si>
    <t>THIB Try</t>
  </si>
  <si>
    <t>LASS Syl</t>
  </si>
  <si>
    <t>DROU Kyl</t>
  </si>
  <si>
    <t>PUZO Sal</t>
  </si>
  <si>
    <t>MACQ Flo</t>
  </si>
  <si>
    <t>BRIC Emm</t>
  </si>
  <si>
    <t>THIL Nol</t>
  </si>
  <si>
    <t>THOR The</t>
  </si>
  <si>
    <t>LASS Don</t>
  </si>
  <si>
    <t>BOUC Cyr</t>
  </si>
  <si>
    <t>GONC Hec</t>
  </si>
  <si>
    <t>BERU Emm</t>
  </si>
  <si>
    <t>CAND Cla</t>
  </si>
  <si>
    <t>DAS N Mae</t>
  </si>
  <si>
    <t>DAS N Nol</t>
  </si>
  <si>
    <t>DE Sm Did</t>
  </si>
  <si>
    <t>DESA Noe</t>
  </si>
  <si>
    <t>TAYM Jer</t>
  </si>
  <si>
    <t>LI</t>
  </si>
  <si>
    <t>SERVAIS</t>
  </si>
  <si>
    <t>AGNIER</t>
  </si>
  <si>
    <t>FRANCOIS</t>
  </si>
  <si>
    <t>RUS</t>
  </si>
  <si>
    <t>LECOQ</t>
  </si>
  <si>
    <t>CSICSO</t>
  </si>
  <si>
    <t>Guenael</t>
  </si>
  <si>
    <t>Erwann</t>
  </si>
  <si>
    <t>Claudiu</t>
  </si>
  <si>
    <t>Rubens</t>
  </si>
  <si>
    <t>Jensen</t>
  </si>
  <si>
    <t>Stephan</t>
  </si>
  <si>
    <t>LI Enz</t>
  </si>
  <si>
    <t>CHAB Gue</t>
  </si>
  <si>
    <t>SERV Dom</t>
  </si>
  <si>
    <t>FRAN Erw</t>
  </si>
  <si>
    <t>RUS Cla</t>
  </si>
  <si>
    <t>LECO Rub</t>
  </si>
  <si>
    <t>LECO Jen</t>
  </si>
  <si>
    <t>CSIC Ste</t>
  </si>
  <si>
    <t>AGNI Leo</t>
  </si>
  <si>
    <t>FOLL Leo</t>
  </si>
  <si>
    <t>Mathys</t>
  </si>
  <si>
    <t>MACQ Mat</t>
  </si>
  <si>
    <t>agnes.tanguy@free.fr</t>
  </si>
  <si>
    <t>cttmonthyon@gmail.com</t>
  </si>
  <si>
    <t>cslvtt@outlook.fr</t>
  </si>
  <si>
    <t>SCHNEIDER</t>
  </si>
  <si>
    <t>DUCHENE</t>
  </si>
  <si>
    <t>FIGUEIREDO</t>
  </si>
  <si>
    <t>MACE RICHARD</t>
  </si>
  <si>
    <t>DUVEAU</t>
  </si>
  <si>
    <t>BOURGEAUX</t>
  </si>
  <si>
    <t>DUPERRON</t>
  </si>
  <si>
    <t>DELAVAL</t>
  </si>
  <si>
    <t>LEHMANN HANNOUN</t>
  </si>
  <si>
    <t>PRAYER</t>
  </si>
  <si>
    <t>LAUMONIER</t>
  </si>
  <si>
    <t>LE GOFF</t>
  </si>
  <si>
    <t>REBOUCO</t>
  </si>
  <si>
    <t>GUERISEC</t>
  </si>
  <si>
    <t>CONTENT</t>
  </si>
  <si>
    <t>CLEMENT</t>
  </si>
  <si>
    <t>TAROU</t>
  </si>
  <si>
    <t>DHELIN</t>
  </si>
  <si>
    <t>CHARLOT</t>
  </si>
  <si>
    <t>LEONARD</t>
  </si>
  <si>
    <t>LUU</t>
  </si>
  <si>
    <t>LODOTCHNIKOFF</t>
  </si>
  <si>
    <t>BEJANNIN</t>
  </si>
  <si>
    <t>DE LA VILLEMARQUE</t>
  </si>
  <si>
    <t>HARIGA</t>
  </si>
  <si>
    <t>BLONDELOT</t>
  </si>
  <si>
    <t>FICHER</t>
  </si>
  <si>
    <t>LAMBOLEZ</t>
  </si>
  <si>
    <t>LECLERCQ</t>
  </si>
  <si>
    <t>NUNES JORGE</t>
  </si>
  <si>
    <t>HOLIN</t>
  </si>
  <si>
    <t>CHASSEVENT</t>
  </si>
  <si>
    <t>MONTEIRO</t>
  </si>
  <si>
    <t>NGO</t>
  </si>
  <si>
    <t>FAYS</t>
  </si>
  <si>
    <t>MINÉO</t>
  </si>
  <si>
    <t>CACHET</t>
  </si>
  <si>
    <t>CHANSON</t>
  </si>
  <si>
    <t>MERMINOD</t>
  </si>
  <si>
    <t>Auxence</t>
  </si>
  <si>
    <t>Benoit</t>
  </si>
  <si>
    <t>Loic</t>
  </si>
  <si>
    <t>José</t>
  </si>
  <si>
    <t>Elliott</t>
  </si>
  <si>
    <t>Cécile</t>
  </si>
  <si>
    <t>Duc Nhan</t>
  </si>
  <si>
    <t>Steeve</t>
  </si>
  <si>
    <t>Leo</t>
  </si>
  <si>
    <t>Andreï</t>
  </si>
  <si>
    <t>Ionut Cristian</t>
  </si>
  <si>
    <t>Mahe</t>
  </si>
  <si>
    <t>Ali</t>
  </si>
  <si>
    <t>Clement</t>
  </si>
  <si>
    <t>Aaron</t>
  </si>
  <si>
    <t>Scarlett</t>
  </si>
  <si>
    <t>Melvin</t>
  </si>
  <si>
    <t>Raphael</t>
  </si>
  <si>
    <t>Ladislas</t>
  </si>
  <si>
    <t>Brieuc</t>
  </si>
  <si>
    <t>Fabio</t>
  </si>
  <si>
    <t>AVRI Dom</t>
  </si>
  <si>
    <t>SCHN Ala</t>
  </si>
  <si>
    <t>DUCH Dav</t>
  </si>
  <si>
    <t>FIGU Vic</t>
  </si>
  <si>
    <t>MACE Aux</t>
  </si>
  <si>
    <t>CHEV Joe</t>
  </si>
  <si>
    <t>DUVE Ben</t>
  </si>
  <si>
    <t>BOUR Sop</t>
  </si>
  <si>
    <t>DUPE Pas</t>
  </si>
  <si>
    <t>DELA Syl</t>
  </si>
  <si>
    <t>LEHM Luc</t>
  </si>
  <si>
    <t>PRAY Pas</t>
  </si>
  <si>
    <t>LAUM Dor</t>
  </si>
  <si>
    <t>REBO Jos</t>
  </si>
  <si>
    <t>GUER Gue</t>
  </si>
  <si>
    <t>CONT Phi</t>
  </si>
  <si>
    <t>CLEM Eth</t>
  </si>
  <si>
    <t>TARO Mic</t>
  </si>
  <si>
    <t>LUU Duc</t>
  </si>
  <si>
    <t>LODO Dim</t>
  </si>
  <si>
    <t>VALE Ste</t>
  </si>
  <si>
    <t>DE L Elo</t>
  </si>
  <si>
    <t>HARI And</t>
  </si>
  <si>
    <t>HARI Ion</t>
  </si>
  <si>
    <t>BLON Mah</t>
  </si>
  <si>
    <t>FICH Cle</t>
  </si>
  <si>
    <t>LAMB Aar</t>
  </si>
  <si>
    <t>LECL Die</t>
  </si>
  <si>
    <t>LECL Enz</t>
  </si>
  <si>
    <t>NUNE Tri</t>
  </si>
  <si>
    <t>HOLI Sca</t>
  </si>
  <si>
    <t>CHAS Mel</t>
  </si>
  <si>
    <t>MONT Pau</t>
  </si>
  <si>
    <t>NGO Oli</t>
  </si>
  <si>
    <t>FAYS Flo</t>
  </si>
  <si>
    <t>CACH Chr</t>
  </si>
  <si>
    <t>CHAN Kil</t>
  </si>
  <si>
    <t>MERM Bri</t>
  </si>
  <si>
    <t>FIGU Fab</t>
  </si>
  <si>
    <t>DHEL Ste</t>
  </si>
  <si>
    <t>CHAR Seb</t>
  </si>
  <si>
    <t>LEON Cec</t>
  </si>
  <si>
    <t>MINE Ben</t>
  </si>
  <si>
    <t>SIDI</t>
  </si>
  <si>
    <t>COMERSON</t>
  </si>
  <si>
    <t>MOLNAR</t>
  </si>
  <si>
    <t>YAKPOVI</t>
  </si>
  <si>
    <t>BENABDALLAH CHARRIER</t>
  </si>
  <si>
    <t>MOINGEON</t>
  </si>
  <si>
    <t>GICQUEL</t>
  </si>
  <si>
    <t>BEVILACQUA</t>
  </si>
  <si>
    <t>LEMOINE</t>
  </si>
  <si>
    <t>MAUJEAN</t>
  </si>
  <si>
    <t>TOURNANT</t>
  </si>
  <si>
    <t>SCEAUX</t>
  </si>
  <si>
    <t>CHAUMIER</t>
  </si>
  <si>
    <t>LE TOUCHE</t>
  </si>
  <si>
    <t>HERBOUX</t>
  </si>
  <si>
    <t>BLANC</t>
  </si>
  <si>
    <t>FREIDEL</t>
  </si>
  <si>
    <t>PETIT</t>
  </si>
  <si>
    <t>Noah</t>
  </si>
  <si>
    <t>Elias</t>
  </si>
  <si>
    <t>Swan</t>
  </si>
  <si>
    <t>Claire</t>
  </si>
  <si>
    <t>Marie</t>
  </si>
  <si>
    <t>Richard</t>
  </si>
  <si>
    <t>Lylian</t>
  </si>
  <si>
    <t>Arnaud-Alain</t>
  </si>
  <si>
    <t>Nicole</t>
  </si>
  <si>
    <t>Raphaël</t>
  </si>
  <si>
    <t>Tom</t>
  </si>
  <si>
    <t>Amaury</t>
  </si>
  <si>
    <t>SIDI Dav</t>
  </si>
  <si>
    <t>COME Noa</t>
  </si>
  <si>
    <t>MOLN Mat</t>
  </si>
  <si>
    <t>YAKP Eli</t>
  </si>
  <si>
    <t>BENA Swa</t>
  </si>
  <si>
    <t>MOIN Cla</t>
  </si>
  <si>
    <t>GICQ Erw</t>
  </si>
  <si>
    <t>BEVI Ric</t>
  </si>
  <si>
    <t>LEMO Lyl</t>
  </si>
  <si>
    <t>MAUJ Max</t>
  </si>
  <si>
    <t>TOUR Arn</t>
  </si>
  <si>
    <t>SCEA Bap</t>
  </si>
  <si>
    <t>CHAU Nic</t>
  </si>
  <si>
    <t>HERB Lou</t>
  </si>
  <si>
    <t>BLAN Lad</t>
  </si>
  <si>
    <t>FREI And</t>
  </si>
  <si>
    <t>MART Rap</t>
  </si>
  <si>
    <t>PETI Ama</t>
  </si>
  <si>
    <t>LE TO Jul</t>
  </si>
  <si>
    <t>Coudray-Montceaux TT</t>
  </si>
  <si>
    <t>La Ville du Bois</t>
  </si>
  <si>
    <t>Milly Maisse</t>
  </si>
  <si>
    <t>Breuillet</t>
  </si>
  <si>
    <t>CHOFFARDET</t>
  </si>
  <si>
    <t>DJILGHIR</t>
  </si>
  <si>
    <t>CALAME</t>
  </si>
  <si>
    <t>KACPROWSKI</t>
  </si>
  <si>
    <t>NOTTIN</t>
  </si>
  <si>
    <t>Stéphanie</t>
  </si>
  <si>
    <t>Melica</t>
  </si>
  <si>
    <t>Sebastien</t>
  </si>
  <si>
    <t>Téo</t>
  </si>
  <si>
    <t>Piotr</t>
  </si>
  <si>
    <t>Marius</t>
  </si>
  <si>
    <t>RODR TRI</t>
  </si>
  <si>
    <t>CHOF STE</t>
  </si>
  <si>
    <t>DJIL MEL</t>
  </si>
  <si>
    <t>CALA SEB</t>
  </si>
  <si>
    <t>LAUM TEO</t>
  </si>
  <si>
    <t>KACP PIO</t>
  </si>
  <si>
    <t>NOTT THO</t>
  </si>
  <si>
    <t>MATH TOM</t>
  </si>
  <si>
    <t>cdrouault.asso@orange.fr</t>
  </si>
  <si>
    <t>MART PAT</t>
  </si>
  <si>
    <t>SET1</t>
  </si>
  <si>
    <t>SET2</t>
  </si>
  <si>
    <t>SET3</t>
  </si>
  <si>
    <t>SET4</t>
  </si>
  <si>
    <t>SET5</t>
  </si>
  <si>
    <t>LEROY</t>
  </si>
  <si>
    <t>DOS SANTOS DA SILVA</t>
  </si>
  <si>
    <t>SAINVAL-NOEL</t>
  </si>
  <si>
    <t>BISPO</t>
  </si>
  <si>
    <t>CLARISSON</t>
  </si>
  <si>
    <t>MADELAINE</t>
  </si>
  <si>
    <t>Lukas</t>
  </si>
  <si>
    <t>Sienna</t>
  </si>
  <si>
    <t>Ferdinand</t>
  </si>
  <si>
    <t>Claudine</t>
  </si>
  <si>
    <t>Yasin</t>
  </si>
  <si>
    <t>Gwenaelle</t>
  </si>
  <si>
    <t>Oceane</t>
  </si>
  <si>
    <t>LERO LUK</t>
  </si>
  <si>
    <t>SAIN FER</t>
  </si>
  <si>
    <t>LASS CLA</t>
  </si>
  <si>
    <t>BISP YAS</t>
  </si>
  <si>
    <t>SOUF GWE</t>
  </si>
  <si>
    <t>CLAR PHI</t>
  </si>
  <si>
    <r>
      <t>1</t>
    </r>
    <r>
      <rPr>
        <vertAlign val="superscript"/>
        <sz val="12"/>
        <color rgb="FF000000"/>
        <rFont val="Calibri"/>
        <family val="2"/>
      </rPr>
      <t xml:space="preserve">er </t>
    </r>
    <r>
      <rPr>
        <sz val="12"/>
        <color rgb="FF000000"/>
        <rFont val="Calibri"/>
        <family val="2"/>
        <charset val="1"/>
      </rPr>
      <t>Service : Gauche-Droite</t>
    </r>
  </si>
  <si>
    <t xml:space="preserve">01 : A – X  </t>
  </si>
  <si>
    <t xml:space="preserve">02 : B – Y </t>
  </si>
  <si>
    <t>03 : C - Z</t>
  </si>
  <si>
    <t>04 : DOUBLE</t>
  </si>
  <si>
    <t>05 : B - X</t>
  </si>
  <si>
    <t>06 : A - Z</t>
  </si>
  <si>
    <t>07 : C - Y</t>
  </si>
  <si>
    <t>08 : B - Z</t>
  </si>
  <si>
    <t>09 : C - X</t>
  </si>
  <si>
    <t>10 : A - Y</t>
  </si>
  <si>
    <t>Résultat</t>
  </si>
  <si>
    <t>4J</t>
  </si>
  <si>
    <r>
      <t xml:space="preserve">PONTHIERRY </t>
    </r>
    <r>
      <rPr>
        <sz val="11"/>
        <color rgb="FF000000"/>
        <rFont val="Times New Roman"/>
        <family val="1"/>
      </rPr>
      <t>Salle de Tennis de Table Rue du Stade Fromentin Imbert</t>
    </r>
  </si>
  <si>
    <r>
      <t xml:space="preserve">PROVINS </t>
    </r>
    <r>
      <rPr>
        <sz val="11"/>
        <color rgb="FF000000"/>
        <rFont val="Times New Roman"/>
        <family val="1"/>
      </rPr>
      <t>Rue J. Beurdeley - Salle J. Drouot Gymnase du Collège Marie Curie</t>
    </r>
  </si>
  <si>
    <r>
      <t xml:space="preserve">VENEUX LES SABLONS </t>
    </r>
    <r>
      <rPr>
        <sz val="11"/>
        <color rgb="FF000000"/>
        <rFont val="Times New Roman"/>
        <family val="1"/>
      </rPr>
      <t>Salle Polyvalente Bernard Ridoux Chemin du port</t>
    </r>
  </si>
  <si>
    <r>
      <t xml:space="preserve">VILLEMER </t>
    </r>
    <r>
      <rPr>
        <sz val="11"/>
        <color rgb="FF000000"/>
        <rFont val="Times New Roman"/>
        <family val="1"/>
      </rPr>
      <t>Salle Polyvalente Route des Marronniers</t>
    </r>
  </si>
  <si>
    <r>
      <t xml:space="preserve">VOISENON </t>
    </r>
    <r>
      <rPr>
        <sz val="12"/>
        <color rgb="FF000000"/>
        <rFont val="Times New Roman"/>
        <family val="1"/>
      </rPr>
      <t>Mille Club – rue des Longs Réages Derrière l’Ecole</t>
    </r>
  </si>
  <si>
    <r>
      <t xml:space="preserve">VULAINES SUR SEINE </t>
    </r>
    <r>
      <rPr>
        <sz val="12"/>
        <color rgb="FF000000"/>
        <rFont val="Times New Roman"/>
        <family val="1"/>
      </rPr>
      <t>Complexe Sportif Pierre de Coubertin 22 Chemin de la Touffe</t>
    </r>
  </si>
  <si>
    <r>
      <t xml:space="preserve">BUSSY SAINT GEORGES </t>
    </r>
    <r>
      <rPr>
        <sz val="11"/>
        <color rgb="FF000000"/>
        <rFont val="Times New Roman"/>
        <family val="1"/>
      </rPr>
      <t xml:space="preserve">Gymnase Laura  15 Bld des 100 Arpents </t>
    </r>
  </si>
  <si>
    <r>
      <t xml:space="preserve">CHAINTREAUX </t>
    </r>
    <r>
      <rPr>
        <sz val="11"/>
        <color rgb="FF000000"/>
        <rFont val="Times New Roman"/>
        <family val="1"/>
      </rPr>
      <t>Salle polyvalente Rue de la Mairie</t>
    </r>
  </si>
  <si>
    <r>
      <t xml:space="preserve">CHAMBRY </t>
    </r>
    <r>
      <rPr>
        <sz val="11"/>
        <color rgb="FF000000"/>
        <rFont val="Times New Roman"/>
        <family val="1"/>
      </rPr>
      <t xml:space="preserve">Salle Omnisports </t>
    </r>
    <r>
      <rPr>
        <sz val="12"/>
        <color rgb="FF000000"/>
        <rFont val="Times New Roman"/>
        <family val="1"/>
      </rPr>
      <t>Chemin des Dames de Fontaine</t>
    </r>
  </si>
  <si>
    <r>
      <t xml:space="preserve">COULOMMIERS </t>
    </r>
    <r>
      <rPr>
        <sz val="11"/>
        <color rgb="FF000000"/>
        <rFont val="Times New Roman"/>
        <family val="1"/>
      </rPr>
      <t>Ancienne caserne des pompiers 1 Rue V. Hugo – Provisoire-</t>
    </r>
  </si>
  <si>
    <r>
      <t xml:space="preserve">COURTOMER </t>
    </r>
    <r>
      <rPr>
        <sz val="11"/>
        <color rgb="FF000000"/>
        <rFont val="Times New Roman"/>
        <family val="1"/>
      </rPr>
      <t>Salle Polyvalente « Marc Bareyre » Rue du Paradis</t>
    </r>
  </si>
  <si>
    <r>
      <t xml:space="preserve">FAVIERES </t>
    </r>
    <r>
      <rPr>
        <sz val="12"/>
        <color rgb="FF000000"/>
        <rFont val="Times New Roman"/>
        <family val="1"/>
      </rPr>
      <t>Salle des Fêtes Rue du Marais</t>
    </r>
  </si>
  <si>
    <r>
      <t xml:space="preserve">FERRIERES EN BRIE </t>
    </r>
    <r>
      <rPr>
        <sz val="11"/>
        <color rgb="FF000000"/>
        <rFont val="Times New Roman"/>
        <family val="1"/>
      </rPr>
      <t>19 Avenue de Paris Espace Léonard de Vinci</t>
    </r>
  </si>
  <si>
    <r>
      <t xml:space="preserve">MAROLLES SUR SEINE </t>
    </r>
    <r>
      <rPr>
        <sz val="11"/>
        <color rgb="FF000000"/>
        <rFont val="Times New Roman"/>
        <family val="1"/>
      </rPr>
      <t>Salle des Sports Gymnase des Gravelins Rue du Stade</t>
    </r>
  </si>
  <si>
    <r>
      <t xml:space="preserve">MELUN </t>
    </r>
    <r>
      <rPr>
        <sz val="11"/>
        <color rgb="FF000000"/>
        <rFont val="Times New Roman"/>
        <family val="1"/>
      </rPr>
      <t>Gymnase Jean BONIS Rue Robert Schuman</t>
    </r>
  </si>
  <si>
    <r>
      <t xml:space="preserve">MONTHYON </t>
    </r>
    <r>
      <rPr>
        <sz val="11"/>
        <color rgb="FF000000"/>
        <rFont val="Times New Roman"/>
        <family val="1"/>
      </rPr>
      <t>Gymnase des Avernes Chemin Pottier 77122 Monthyon</t>
    </r>
  </si>
  <si>
    <r>
      <t xml:space="preserve">NANTOUILLET </t>
    </r>
    <r>
      <rPr>
        <sz val="12"/>
        <color rgb="FF000000"/>
        <rFont val="Times New Roman"/>
        <family val="1"/>
      </rPr>
      <t>Salle Polyvalente Chemin de la Nourrie</t>
    </r>
  </si>
  <si>
    <t>Email du correspondant</t>
  </si>
  <si>
    <t>3J</t>
  </si>
  <si>
    <t>JJ</t>
  </si>
  <si>
    <t>CDJ</t>
  </si>
  <si>
    <t>CNJ</t>
  </si>
  <si>
    <t>DEMANGE</t>
  </si>
  <si>
    <t>Clovis</t>
  </si>
  <si>
    <t>DEMA CLO</t>
  </si>
  <si>
    <t>MARI REM</t>
  </si>
  <si>
    <t>PEREIRA-ESTEVES</t>
  </si>
  <si>
    <t>LIDEC</t>
  </si>
  <si>
    <t>CHEVALLIER</t>
  </si>
  <si>
    <t>GILLOTOT</t>
  </si>
  <si>
    <t>CAUSSANEL</t>
  </si>
  <si>
    <t>CHANG</t>
  </si>
  <si>
    <t>TRANG</t>
  </si>
  <si>
    <t>ATRIDE</t>
  </si>
  <si>
    <t>FLACHAIRE DE ROUSTAN</t>
  </si>
  <si>
    <t>DHORBAIT</t>
  </si>
  <si>
    <t>HASSAN</t>
  </si>
  <si>
    <t>DELIGNY</t>
  </si>
  <si>
    <t>MOGENOT</t>
  </si>
  <si>
    <t>VIÉ</t>
  </si>
  <si>
    <t>LLOPIS</t>
  </si>
  <si>
    <t>LAMBERT</t>
  </si>
  <si>
    <t>LAPENDRY</t>
  </si>
  <si>
    <t>WANG</t>
  </si>
  <si>
    <t>JOUBERT</t>
  </si>
  <si>
    <t>TESSIER CERTAIN</t>
  </si>
  <si>
    <t>VANLERBERGHE</t>
  </si>
  <si>
    <t>GIACCO</t>
  </si>
  <si>
    <t>BIDAUT</t>
  </si>
  <si>
    <t>AUJARD POIRIER</t>
  </si>
  <si>
    <t>DE SEIXAS</t>
  </si>
  <si>
    <t>Chris</t>
  </si>
  <si>
    <t>Bour</t>
  </si>
  <si>
    <t>Pratsanee</t>
  </si>
  <si>
    <t>Daniel</t>
  </si>
  <si>
    <t>Edwin</t>
  </si>
  <si>
    <t>Katia</t>
  </si>
  <si>
    <t>Claudia</t>
  </si>
  <si>
    <t>Serge</t>
  </si>
  <si>
    <t>Rudolph</t>
  </si>
  <si>
    <t>Valérie</t>
  </si>
  <si>
    <t>Hong</t>
  </si>
  <si>
    <t>Andréa</t>
  </si>
  <si>
    <t>Colin</t>
  </si>
  <si>
    <t>Franco</t>
  </si>
  <si>
    <t>Alix</t>
  </si>
  <si>
    <t>Etienne</t>
  </si>
  <si>
    <t>PERE Val</t>
  </si>
  <si>
    <t>LIDE Val</t>
  </si>
  <si>
    <t>GILL Chr</t>
  </si>
  <si>
    <t>REBO Wil</t>
  </si>
  <si>
    <t>CHAN Bou</t>
  </si>
  <si>
    <t>CHAN Pra</t>
  </si>
  <si>
    <t>LADE Chr</t>
  </si>
  <si>
    <t>TRAN Dan</t>
  </si>
  <si>
    <t>ATRI Edw</t>
  </si>
  <si>
    <t>FLAC Kat</t>
  </si>
  <si>
    <t>DHOR Did</t>
  </si>
  <si>
    <t>LEDU Cla</t>
  </si>
  <si>
    <t>DELI Ser</t>
  </si>
  <si>
    <t>MOGE Her</t>
  </si>
  <si>
    <t>MOGE Nic</t>
  </si>
  <si>
    <t>LLOP Rud</t>
  </si>
  <si>
    <t>STOS Eri</t>
  </si>
  <si>
    <t>LAMB Fra</t>
  </si>
  <si>
    <t>COSS Val</t>
  </si>
  <si>
    <t>LAPE Ste</t>
  </si>
  <si>
    <t>WANG Hon</t>
  </si>
  <si>
    <t>JOUB Lau</t>
  </si>
  <si>
    <t>JOUB And</t>
  </si>
  <si>
    <t>TESS Col</t>
  </si>
  <si>
    <t>VANL Mar</t>
  </si>
  <si>
    <t>GIAC Fra</t>
  </si>
  <si>
    <t>BIDA Phi</t>
  </si>
  <si>
    <t>AUJA Nat</t>
  </si>
  <si>
    <t>LAIN Ali</t>
  </si>
  <si>
    <t>DE S Eti</t>
  </si>
  <si>
    <t>HASS Seb</t>
  </si>
  <si>
    <t>VIE Vin</t>
  </si>
  <si>
    <t>CAUS Chri</t>
  </si>
  <si>
    <t>Licence Ok</t>
  </si>
  <si>
    <t>LOTZ</t>
  </si>
  <si>
    <t>LOTZ DOM</t>
  </si>
  <si>
    <t>COUDRAT YVARS</t>
  </si>
  <si>
    <t>BARLIEU</t>
  </si>
  <si>
    <t>NION</t>
  </si>
  <si>
    <t>DALAINE</t>
  </si>
  <si>
    <t>LECHAT</t>
  </si>
  <si>
    <t>BOUSSETON</t>
  </si>
  <si>
    <t>CHERON GUYOT</t>
  </si>
  <si>
    <t>CHERON</t>
  </si>
  <si>
    <t>HEISBOURG CATHERINE</t>
  </si>
  <si>
    <t>SOUSA</t>
  </si>
  <si>
    <t>FEUILLETIN</t>
  </si>
  <si>
    <t>DA SILVA NOVAIS</t>
  </si>
  <si>
    <t>ANDREI</t>
  </si>
  <si>
    <t>CABUT</t>
  </si>
  <si>
    <t>PIERRE JULIEN</t>
  </si>
  <si>
    <t>LANGE</t>
  </si>
  <si>
    <t>CORMIER</t>
  </si>
  <si>
    <t>ALISON</t>
  </si>
  <si>
    <t>NICOLAS</t>
  </si>
  <si>
    <t>PEPIN</t>
  </si>
  <si>
    <t>MILLET</t>
  </si>
  <si>
    <t>DUPLOUYS</t>
  </si>
  <si>
    <t>MORLOT</t>
  </si>
  <si>
    <t>DOUBLET</t>
  </si>
  <si>
    <t>PELGAS</t>
  </si>
  <si>
    <t>DUPONT</t>
  </si>
  <si>
    <t>CORTINA</t>
  </si>
  <si>
    <t>FEUGUEUR</t>
  </si>
  <si>
    <t>PAPON</t>
  </si>
  <si>
    <t>BAEZER PLE</t>
  </si>
  <si>
    <t>SHENAL</t>
  </si>
  <si>
    <t>BERNARD</t>
  </si>
  <si>
    <t>BROCHARD</t>
  </si>
  <si>
    <t>SCHMITT</t>
  </si>
  <si>
    <t>DE SOUSA</t>
  </si>
  <si>
    <t>FASSIER</t>
  </si>
  <si>
    <t>LEGOFF</t>
  </si>
  <si>
    <t>PASQUET</t>
  </si>
  <si>
    <t>DAVENEL</t>
  </si>
  <si>
    <t>HAVY</t>
  </si>
  <si>
    <t>FORÊT</t>
  </si>
  <si>
    <t>GEORGES</t>
  </si>
  <si>
    <t>JABOU</t>
  </si>
  <si>
    <t>BOULET</t>
  </si>
  <si>
    <t>DECOURT</t>
  </si>
  <si>
    <t>MINEO</t>
  </si>
  <si>
    <t>LANCE</t>
  </si>
  <si>
    <t>DUBUC</t>
  </si>
  <si>
    <t>SCHONBACKLER</t>
  </si>
  <si>
    <t>LOUNISSI</t>
  </si>
  <si>
    <t>TOUPENCE</t>
  </si>
  <si>
    <t>PRUD'HOMME</t>
  </si>
  <si>
    <t>ELAN</t>
  </si>
  <si>
    <t>ZERIBA</t>
  </si>
  <si>
    <t>DI CARLO CEZARD</t>
  </si>
  <si>
    <t>PIGNATELLI</t>
  </si>
  <si>
    <t>GRYSAN</t>
  </si>
  <si>
    <t>AZIZ</t>
  </si>
  <si>
    <t>BARREIROS</t>
  </si>
  <si>
    <t>TALLON</t>
  </si>
  <si>
    <t>PAILLARD</t>
  </si>
  <si>
    <t>CRUCIANI</t>
  </si>
  <si>
    <t>DELEAN</t>
  </si>
  <si>
    <t>FONTAINE</t>
  </si>
  <si>
    <t>RESSORT</t>
  </si>
  <si>
    <t>MARCHAND</t>
  </si>
  <si>
    <t>KACZMAREK</t>
  </si>
  <si>
    <t>BUART</t>
  </si>
  <si>
    <t>TAVARES SEMENO</t>
  </si>
  <si>
    <t>LACROIX</t>
  </si>
  <si>
    <t>AMEURLAIN</t>
  </si>
  <si>
    <t>KARIA</t>
  </si>
  <si>
    <t>CHERRIER</t>
  </si>
  <si>
    <t>HERTGEN</t>
  </si>
  <si>
    <t>BOUTET BARRAL</t>
  </si>
  <si>
    <t>GAUDRIN</t>
  </si>
  <si>
    <t>GUILLEVIN</t>
  </si>
  <si>
    <t>PROSPER</t>
  </si>
  <si>
    <t>PRIGENT</t>
  </si>
  <si>
    <t>MOLOU</t>
  </si>
  <si>
    <t>MERCOU</t>
  </si>
  <si>
    <t>QUINTARD</t>
  </si>
  <si>
    <t>BOTEREL</t>
  </si>
  <si>
    <t>MOUROT</t>
  </si>
  <si>
    <t>CROIZER</t>
  </si>
  <si>
    <t>WEBER</t>
  </si>
  <si>
    <t>SOZUAN</t>
  </si>
  <si>
    <t>MARTINEZ</t>
  </si>
  <si>
    <t>BELLER</t>
  </si>
  <si>
    <t>DEROUET</t>
  </si>
  <si>
    <t>POLICARPO</t>
  </si>
  <si>
    <t>BOILOT</t>
  </si>
  <si>
    <t>DARMEON</t>
  </si>
  <si>
    <t>MANETTI</t>
  </si>
  <si>
    <t>FORTUNE</t>
  </si>
  <si>
    <t>MARESTAING</t>
  </si>
  <si>
    <t>VERMET</t>
  </si>
  <si>
    <t>DE BELLEVILLE</t>
  </si>
  <si>
    <t>ALDALLAL</t>
  </si>
  <si>
    <t>FREDERIC-RAYMOND</t>
  </si>
  <si>
    <t>CLERGEOT</t>
  </si>
  <si>
    <t>TAUPIN CARTIGNIES</t>
  </si>
  <si>
    <t>FRANTZ</t>
  </si>
  <si>
    <t>RAFIK</t>
  </si>
  <si>
    <t>LOISELET</t>
  </si>
  <si>
    <t>SEGUIN</t>
  </si>
  <si>
    <t>MAKHLOUF</t>
  </si>
  <si>
    <t>RENAT</t>
  </si>
  <si>
    <t>PICHOT</t>
  </si>
  <si>
    <t>AVELINE</t>
  </si>
  <si>
    <t>LECERF</t>
  </si>
  <si>
    <t>CHANTIN</t>
  </si>
  <si>
    <t>FORESTAL</t>
  </si>
  <si>
    <t>CROCHARD</t>
  </si>
  <si>
    <t>BOURGIS</t>
  </si>
  <si>
    <t>GIRSCH</t>
  </si>
  <si>
    <t>NAUDET</t>
  </si>
  <si>
    <t>MC PNTYRE</t>
  </si>
  <si>
    <t>GUEDJ</t>
  </si>
  <si>
    <t>GIL--FARENC</t>
  </si>
  <si>
    <t>CHEKIR SALCEDO</t>
  </si>
  <si>
    <t>SABATHIER</t>
  </si>
  <si>
    <t>CHABAUD</t>
  </si>
  <si>
    <t>MUCKENSTURM</t>
  </si>
  <si>
    <t>LESCOT</t>
  </si>
  <si>
    <t>CHAMOURET</t>
  </si>
  <si>
    <t>MANDIANGU</t>
  </si>
  <si>
    <t>ROCHET</t>
  </si>
  <si>
    <t>KUBIEZ</t>
  </si>
  <si>
    <t>GUILLEMOT</t>
  </si>
  <si>
    <t>DUTHEIL</t>
  </si>
  <si>
    <t>Lihaan</t>
  </si>
  <si>
    <t>Léandre</t>
  </si>
  <si>
    <t>Mohamad</t>
  </si>
  <si>
    <t>Arthur</t>
  </si>
  <si>
    <t>Nao</t>
  </si>
  <si>
    <t>Gaspard</t>
  </si>
  <si>
    <t>Elliot</t>
  </si>
  <si>
    <t>Elouen</t>
  </si>
  <si>
    <t>Charlene</t>
  </si>
  <si>
    <t>Ruben</t>
  </si>
  <si>
    <t>Delancre</t>
  </si>
  <si>
    <t>Natheo</t>
  </si>
  <si>
    <t>Cortes</t>
  </si>
  <si>
    <t>Eva</t>
  </si>
  <si>
    <t>Liza</t>
  </si>
  <si>
    <t>Anna</t>
  </si>
  <si>
    <t>Alex</t>
  </si>
  <si>
    <t>Jean-Claude</t>
  </si>
  <si>
    <t>Stephen</t>
  </si>
  <si>
    <t>Ludivine</t>
  </si>
  <si>
    <t>Kevin</t>
  </si>
  <si>
    <t>Toan</t>
  </si>
  <si>
    <t>Ranjan</t>
  </si>
  <si>
    <t>Keylan</t>
  </si>
  <si>
    <t>Samuel</t>
  </si>
  <si>
    <t>Thiméo</t>
  </si>
  <si>
    <t>Chrystel</t>
  </si>
  <si>
    <t>Martin</t>
  </si>
  <si>
    <t>Sonia</t>
  </si>
  <si>
    <t>Ny Hasima</t>
  </si>
  <si>
    <t>Mohamed</t>
  </si>
  <si>
    <t>Ilyes</t>
  </si>
  <si>
    <t>Hugo</t>
  </si>
  <si>
    <t>Bastien</t>
  </si>
  <si>
    <t>Aurore</t>
  </si>
  <si>
    <t>Valentina</t>
  </si>
  <si>
    <t>Iyed</t>
  </si>
  <si>
    <t>Juliette</t>
  </si>
  <si>
    <t>Zayd</t>
  </si>
  <si>
    <t>Jonathan</t>
  </si>
  <si>
    <t>Nohlan</t>
  </si>
  <si>
    <t>Sandrine</t>
  </si>
  <si>
    <t>Salmane</t>
  </si>
  <si>
    <t>Isbelle</t>
  </si>
  <si>
    <t>Joel</t>
  </si>
  <si>
    <t>Pierre-Alain</t>
  </si>
  <si>
    <t>Michele</t>
  </si>
  <si>
    <t>Jean-Marie</t>
  </si>
  <si>
    <t>Edna Maria</t>
  </si>
  <si>
    <t>Lilian</t>
  </si>
  <si>
    <t>Lucien</t>
  </si>
  <si>
    <t>Erwin</t>
  </si>
  <si>
    <t>Celiann</t>
  </si>
  <si>
    <t>Gildas</t>
  </si>
  <si>
    <t>Faeza</t>
  </si>
  <si>
    <t>Leandre</t>
  </si>
  <si>
    <t>Tony</t>
  </si>
  <si>
    <t>Hubert</t>
  </si>
  <si>
    <t>Charline</t>
  </si>
  <si>
    <t>Maxens</t>
  </si>
  <si>
    <t>Nathanael</t>
  </si>
  <si>
    <t>Yoan</t>
  </si>
  <si>
    <t>Constance</t>
  </si>
  <si>
    <t>Jamal</t>
  </si>
  <si>
    <t>Emmy</t>
  </si>
  <si>
    <t>Amine</t>
  </si>
  <si>
    <t>Marceau</t>
  </si>
  <si>
    <t>Abdel</t>
  </si>
  <si>
    <t>Valerie</t>
  </si>
  <si>
    <t>Anne-Marie</t>
  </si>
  <si>
    <t>Eliot</t>
  </si>
  <si>
    <t>Leona</t>
  </si>
  <si>
    <t>Emilie</t>
  </si>
  <si>
    <t>Guilhem</t>
  </si>
  <si>
    <t>Liahm</t>
  </si>
  <si>
    <t>Severine</t>
  </si>
  <si>
    <t>Niels</t>
  </si>
  <si>
    <t>Sören</t>
  </si>
  <si>
    <t>Ambroise</t>
  </si>
  <si>
    <t>Magali</t>
  </si>
  <si>
    <t>Nael</t>
  </si>
  <si>
    <t>Loan</t>
  </si>
  <si>
    <t>Mathéo</t>
  </si>
  <si>
    <t>Lilou</t>
  </si>
  <si>
    <t>BARL Moh</t>
  </si>
  <si>
    <t>NION Rap</t>
  </si>
  <si>
    <t>NION Agn</t>
  </si>
  <si>
    <t>DALA Art</t>
  </si>
  <si>
    <t>LECH Jer</t>
  </si>
  <si>
    <t>BOUS Nao</t>
  </si>
  <si>
    <t>CHER Gas</t>
  </si>
  <si>
    <t>CHER Fre</t>
  </si>
  <si>
    <t>HEIS Ell</t>
  </si>
  <si>
    <t>MART Ell</t>
  </si>
  <si>
    <t>SOUS Val</t>
  </si>
  <si>
    <t>FEUI Elo</t>
  </si>
  <si>
    <t>BAUD Cha</t>
  </si>
  <si>
    <t>DA S Rub</t>
  </si>
  <si>
    <t>ANDR Gab</t>
  </si>
  <si>
    <t>CABU Alb</t>
  </si>
  <si>
    <t>PIER Del</t>
  </si>
  <si>
    <t>LANG Rom</t>
  </si>
  <si>
    <t>CORM Nat</t>
  </si>
  <si>
    <t>ALIS Cor</t>
  </si>
  <si>
    <t>NICO Eva</t>
  </si>
  <si>
    <t>LEFE Nic</t>
  </si>
  <si>
    <t>PEPI Liz</t>
  </si>
  <si>
    <t>PEPI Ann</t>
  </si>
  <si>
    <t>MILL Ale</t>
  </si>
  <si>
    <t>MORL Eth</t>
  </si>
  <si>
    <t>DOUB Ste</t>
  </si>
  <si>
    <t>PELG Ala</t>
  </si>
  <si>
    <t>CORT Lud</t>
  </si>
  <si>
    <t>FEUG Kev</t>
  </si>
  <si>
    <t>PAPO Phi</t>
  </si>
  <si>
    <t>BAEZ Toa</t>
  </si>
  <si>
    <t>SHEN Ran</t>
  </si>
  <si>
    <t>BERN Key</t>
  </si>
  <si>
    <t>BROC Max</t>
  </si>
  <si>
    <t>SCHM Seb</t>
  </si>
  <si>
    <t>DE S Sam</t>
  </si>
  <si>
    <t>FASS Thi</t>
  </si>
  <si>
    <t>LEGO Phi</t>
  </si>
  <si>
    <t>PASQ Chr</t>
  </si>
  <si>
    <t>DAVE Mar</t>
  </si>
  <si>
    <t>LI Luc</t>
  </si>
  <si>
    <t>HAVY Son</t>
  </si>
  <si>
    <t xml:space="preserve">GEOR Ny </t>
  </si>
  <si>
    <t>JABO Moh</t>
  </si>
  <si>
    <t>JABO Ily</t>
  </si>
  <si>
    <t>MADE Hug</t>
  </si>
  <si>
    <t>MEUN Vin</t>
  </si>
  <si>
    <t>BOUL Bas</t>
  </si>
  <si>
    <t>DECO Aur</t>
  </si>
  <si>
    <t>MINE Val</t>
  </si>
  <si>
    <t>LANC Hug</t>
  </si>
  <si>
    <t>DUBU Jam</t>
  </si>
  <si>
    <t>SCHO Lia</t>
  </si>
  <si>
    <t>LOUN Iye</t>
  </si>
  <si>
    <t>TOUP Mat</t>
  </si>
  <si>
    <t>PRUD Jul</t>
  </si>
  <si>
    <t>ELAN Phi</t>
  </si>
  <si>
    <t>ZERI Zay</t>
  </si>
  <si>
    <t>GICQ Adr</t>
  </si>
  <si>
    <t>SCHO Jon</t>
  </si>
  <si>
    <t>PIGN Lor</t>
  </si>
  <si>
    <t>GRYS Ale</t>
  </si>
  <si>
    <t>AZIZ Noh</t>
  </si>
  <si>
    <t>BARR Edo</t>
  </si>
  <si>
    <t>TALL San</t>
  </si>
  <si>
    <t>ZERI Sal</t>
  </si>
  <si>
    <t>PAIL Kev</t>
  </si>
  <si>
    <t>CRUC Pie</t>
  </si>
  <si>
    <t>DELE Isb</t>
  </si>
  <si>
    <t>FONT Joe</t>
  </si>
  <si>
    <t>RESS Pie</t>
  </si>
  <si>
    <t>MARC Mic</t>
  </si>
  <si>
    <t>KACZ Syl</t>
  </si>
  <si>
    <t>BUAR Jea</t>
  </si>
  <si>
    <t>TAVA Edn</t>
  </si>
  <si>
    <t>LACR Lil</t>
  </si>
  <si>
    <t>LACR Nat</t>
  </si>
  <si>
    <t>AMEU Tho</t>
  </si>
  <si>
    <t>KARI Luc</t>
  </si>
  <si>
    <t>CHER Luc</t>
  </si>
  <si>
    <t>SCHO Leo</t>
  </si>
  <si>
    <t>HERT Erw</t>
  </si>
  <si>
    <t>BOUT Cel</t>
  </si>
  <si>
    <t>GAUD Jul</t>
  </si>
  <si>
    <t>LAUM Oce</t>
  </si>
  <si>
    <t>GUIL Gil</t>
  </si>
  <si>
    <t>PROS Chr</t>
  </si>
  <si>
    <t>BENA Sac</t>
  </si>
  <si>
    <t>PRIG Ant</t>
  </si>
  <si>
    <t>MOLO Fae</t>
  </si>
  <si>
    <t>MOLO Lih</t>
  </si>
  <si>
    <t>MERC Lio</t>
  </si>
  <si>
    <t>QUIN Enz</t>
  </si>
  <si>
    <t>BOTE Mat</t>
  </si>
  <si>
    <t>MOUR Max</t>
  </si>
  <si>
    <t>CROI Ben</t>
  </si>
  <si>
    <t>WEBE Nat</t>
  </si>
  <si>
    <t>SOZU Lea</t>
  </si>
  <si>
    <t>BELL Her</t>
  </si>
  <si>
    <t>DERO Lau</t>
  </si>
  <si>
    <t>DERO Nic</t>
  </si>
  <si>
    <t>POLI Ton</t>
  </si>
  <si>
    <t>BEVI Fra</t>
  </si>
  <si>
    <t>BOIL Chr</t>
  </si>
  <si>
    <t>LAUM Hub</t>
  </si>
  <si>
    <t>DARM Cha</t>
  </si>
  <si>
    <t>MANE Chr</t>
  </si>
  <si>
    <t>FORT Loi</t>
  </si>
  <si>
    <t>MARE Max</t>
  </si>
  <si>
    <t>VERM Yoa</t>
  </si>
  <si>
    <t>MARE Con</t>
  </si>
  <si>
    <t>ALDA Jam</t>
  </si>
  <si>
    <t>MART Ste</t>
  </si>
  <si>
    <t>FRED Emm</t>
  </si>
  <si>
    <t>CLER Vic</t>
  </si>
  <si>
    <t>TAUP Mat</t>
  </si>
  <si>
    <t>FRAN Bap</t>
  </si>
  <si>
    <t>RAFI Ali</t>
  </si>
  <si>
    <t>LOIS Hug</t>
  </si>
  <si>
    <t>SEGU Jul</t>
  </si>
  <si>
    <t>MAKH Ami</t>
  </si>
  <si>
    <t>RENA Jul</t>
  </si>
  <si>
    <t>PICH Nat</t>
  </si>
  <si>
    <t>PETI Vin</t>
  </si>
  <si>
    <t>AVEL Abd</t>
  </si>
  <si>
    <t>LECE Val</t>
  </si>
  <si>
    <t>CHAN Val</t>
  </si>
  <si>
    <t>BREB Ste</t>
  </si>
  <si>
    <t>FORE Jea</t>
  </si>
  <si>
    <t>MAUR The</t>
  </si>
  <si>
    <t>CROC Eli</t>
  </si>
  <si>
    <t>GUIL Mar</t>
  </si>
  <si>
    <t>BOUR Leo</t>
  </si>
  <si>
    <t>GIRS Nic</t>
  </si>
  <si>
    <t>NAUD Dav</t>
  </si>
  <si>
    <t>MC P Cha</t>
  </si>
  <si>
    <t>GUED Lou</t>
  </si>
  <si>
    <t>GIL- Gui</t>
  </si>
  <si>
    <t>CHEK Lia</t>
  </si>
  <si>
    <t>SABA Nic</t>
  </si>
  <si>
    <t>CHAB Sev</t>
  </si>
  <si>
    <t>CROC Tri</t>
  </si>
  <si>
    <t>MUCK Nie</t>
  </si>
  <si>
    <t>CHAM Amb</t>
  </si>
  <si>
    <t>GUES Mag</t>
  </si>
  <si>
    <t>MAND Lia</t>
  </si>
  <si>
    <t>ROCH Nae</t>
  </si>
  <si>
    <t>MAND Loa</t>
  </si>
  <si>
    <t>GUIL Mat</t>
  </si>
  <si>
    <t>DE S Lil</t>
  </si>
  <si>
    <t>DUTH Eri</t>
  </si>
  <si>
    <t>COUD Lea</t>
  </si>
  <si>
    <t>LAUM Cel</t>
  </si>
  <si>
    <t>FORE Val</t>
  </si>
  <si>
    <t>DI CA Ant</t>
  </si>
  <si>
    <t>DI SA Dav</t>
  </si>
  <si>
    <t>DE BE Vin</t>
  </si>
  <si>
    <t>LE GO Mar</t>
  </si>
  <si>
    <t>MART Thie</t>
  </si>
  <si>
    <t>DUPL Jcl</t>
  </si>
  <si>
    <t>KUBI Rap</t>
  </si>
  <si>
    <r>
      <t xml:space="preserve">ROZAY EN BRIE </t>
    </r>
    <r>
      <rPr>
        <sz val="11"/>
        <color rgb="FF000000"/>
        <rFont val="Times New Roman"/>
        <family val="1"/>
      </rPr>
      <t>Gymnase du collège, rue de la Maladrerie, Rozay en Brie</t>
    </r>
  </si>
  <si>
    <t>BENJ Leo</t>
  </si>
  <si>
    <t>SAISOTH</t>
  </si>
  <si>
    <t>BRIARD</t>
  </si>
  <si>
    <t>FOURDINIER</t>
  </si>
  <si>
    <t>MAZIER</t>
  </si>
  <si>
    <t>MOUTACHY</t>
  </si>
  <si>
    <t>COURTIAL</t>
  </si>
  <si>
    <t>BOURQUENCIER</t>
  </si>
  <si>
    <t>GERARD</t>
  </si>
  <si>
    <t>PLÉ</t>
  </si>
  <si>
    <t>LELAURE</t>
  </si>
  <si>
    <t>CHALUPKA</t>
  </si>
  <si>
    <t>RAFFIN</t>
  </si>
  <si>
    <t>SOUVERIN</t>
  </si>
  <si>
    <t>SOUDAN-RAVAUD</t>
  </si>
  <si>
    <t>AOUF</t>
  </si>
  <si>
    <t>JACQUINOT FONSECA</t>
  </si>
  <si>
    <t>BODELET</t>
  </si>
  <si>
    <t>RICHARD MAXIMINI</t>
  </si>
  <si>
    <t>BASTIDE</t>
  </si>
  <si>
    <t>PINTOS VILLORIA</t>
  </si>
  <si>
    <t>MARIERE</t>
  </si>
  <si>
    <t>DE ALMEIDA</t>
  </si>
  <si>
    <t>DUBOIS</t>
  </si>
  <si>
    <t>VANMEENEN</t>
  </si>
  <si>
    <t>DUDICOURT</t>
  </si>
  <si>
    <t>HERNIO-SILVA</t>
  </si>
  <si>
    <t>GIRAULT-FARRUGIA</t>
  </si>
  <si>
    <t>CARDINAL</t>
  </si>
  <si>
    <t>SEGURA</t>
  </si>
  <si>
    <t>Prisca</t>
  </si>
  <si>
    <t>Noemie</t>
  </si>
  <si>
    <t>Alice</t>
  </si>
  <si>
    <t>Emilien</t>
  </si>
  <si>
    <t>Vanessa</t>
  </si>
  <si>
    <t>Mael</t>
  </si>
  <si>
    <t>Amir</t>
  </si>
  <si>
    <t>Janek</t>
  </si>
  <si>
    <t>Marien</t>
  </si>
  <si>
    <t>Teo</t>
  </si>
  <si>
    <t>Marco</t>
  </si>
  <si>
    <t>Yan</t>
  </si>
  <si>
    <t>Simon</t>
  </si>
  <si>
    <t>Corentin</t>
  </si>
  <si>
    <t>Maya</t>
  </si>
  <si>
    <t>Alois</t>
  </si>
  <si>
    <t>SAIS Dan</t>
  </si>
  <si>
    <t>BRIA Pri</t>
  </si>
  <si>
    <t>FOUR Ali</t>
  </si>
  <si>
    <t>MAZI Ale</t>
  </si>
  <si>
    <t>MOUT Ced</t>
  </si>
  <si>
    <t>COUR Jul</t>
  </si>
  <si>
    <t>BOUR Man</t>
  </si>
  <si>
    <t>GERA Emm</t>
  </si>
  <si>
    <t>LELA Emi</t>
  </si>
  <si>
    <t>CHAL Mat</t>
  </si>
  <si>
    <t>RAFF Mat</t>
  </si>
  <si>
    <t>SOUV Van</t>
  </si>
  <si>
    <t>SOUD Mae</t>
  </si>
  <si>
    <t>AOUF Ami</t>
  </si>
  <si>
    <t>BODE Jul</t>
  </si>
  <si>
    <t>RICH Tom</t>
  </si>
  <si>
    <t>BAST Jan</t>
  </si>
  <si>
    <t>PINT Mar</t>
  </si>
  <si>
    <t>MARI Teo</t>
  </si>
  <si>
    <t>DUBO Yan</t>
  </si>
  <si>
    <t>GUEU Sim</t>
  </si>
  <si>
    <t>PETI Max</t>
  </si>
  <si>
    <t>VANM Vin</t>
  </si>
  <si>
    <t>DUDI Cor</t>
  </si>
  <si>
    <t>HERN May</t>
  </si>
  <si>
    <t>JOUB Aur</t>
  </si>
  <si>
    <t>GIRA Alo</t>
  </si>
  <si>
    <t>CARD Kev</t>
  </si>
  <si>
    <t>SEGU Xav</t>
  </si>
  <si>
    <t>DOS S Noe</t>
  </si>
  <si>
    <t>PLE Nat</t>
  </si>
  <si>
    <t>DE AL Mar</t>
  </si>
  <si>
    <t>JACQ Matt</t>
  </si>
  <si>
    <t>LESC Sor</t>
  </si>
  <si>
    <t>DOS S SIE</t>
  </si>
  <si>
    <t>DUPO AMA</t>
  </si>
  <si>
    <t>DAUBY</t>
  </si>
  <si>
    <t>LU</t>
  </si>
  <si>
    <t>BEKKAOUI</t>
  </si>
  <si>
    <t>DE JONCKERE</t>
  </si>
  <si>
    <t>POILPOT</t>
  </si>
  <si>
    <t>HUP</t>
  </si>
  <si>
    <t>AJJAJI</t>
  </si>
  <si>
    <t>CHAUDRON-BIASOTTO</t>
  </si>
  <si>
    <t>OZOG</t>
  </si>
  <si>
    <t>Rayan</t>
  </si>
  <si>
    <t>Seylan</t>
  </si>
  <si>
    <t>Isaac</t>
  </si>
  <si>
    <t>Yacoub</t>
  </si>
  <si>
    <t>DAUB Jea</t>
  </si>
  <si>
    <t>LU Phi</t>
  </si>
  <si>
    <t>BEKK Ray</t>
  </si>
  <si>
    <t>DE J Ala</t>
  </si>
  <si>
    <t>DE J Cla</t>
  </si>
  <si>
    <t>POIL Sey</t>
  </si>
  <si>
    <t>SCHM Jad</t>
  </si>
  <si>
    <t>HUP Rap</t>
  </si>
  <si>
    <t>AJJA Isa</t>
  </si>
  <si>
    <t>AJJA Yac</t>
  </si>
  <si>
    <t>CHAU Ant</t>
  </si>
  <si>
    <t>OZOG Flo</t>
  </si>
  <si>
    <t>(victoire en Simple 1 point,  en double 1 point )</t>
  </si>
  <si>
    <t>COEVOET</t>
  </si>
  <si>
    <t>FRAILLON</t>
  </si>
  <si>
    <t>NGUYEN</t>
  </si>
  <si>
    <t>PORTAIS</t>
  </si>
  <si>
    <t>DANJOU</t>
  </si>
  <si>
    <t>LORIMIER</t>
  </si>
  <si>
    <t>LOUVET</t>
  </si>
  <si>
    <t>MONDOU</t>
  </si>
  <si>
    <t>YILMAZ</t>
  </si>
  <si>
    <t>DOS SANTOS</t>
  </si>
  <si>
    <t>BEKTACHE</t>
  </si>
  <si>
    <t>REGUIG</t>
  </si>
  <si>
    <t>SEGONDAT</t>
  </si>
  <si>
    <t>Liam-Alféo</t>
  </si>
  <si>
    <t>Eliott</t>
  </si>
  <si>
    <t>Antonin</t>
  </si>
  <si>
    <t>Angélique</t>
  </si>
  <si>
    <t>Erwan</t>
  </si>
  <si>
    <t>Andy</t>
  </si>
  <si>
    <t>Imrane</t>
  </si>
  <si>
    <t>Licence ok</t>
  </si>
  <si>
    <t>FRAI Lia</t>
  </si>
  <si>
    <t>NGUY Eli</t>
  </si>
  <si>
    <t>PORT Tho</t>
  </si>
  <si>
    <t>PEYR Jad</t>
  </si>
  <si>
    <t>BAST Ant</t>
  </si>
  <si>
    <t>DANJ Art</t>
  </si>
  <si>
    <t>LORI Ang</t>
  </si>
  <si>
    <t>LOUV Tho</t>
  </si>
  <si>
    <t>MOND Ale</t>
  </si>
  <si>
    <t>YILM Erw</t>
  </si>
  <si>
    <t>DE S Mic</t>
  </si>
  <si>
    <t>DOS  And</t>
  </si>
  <si>
    <t>BEKT Imr</t>
  </si>
  <si>
    <t>REGU Lou</t>
  </si>
  <si>
    <t>SEGO Ale</t>
  </si>
  <si>
    <t>Championnat  départemental par équipes de TROIS (3) SEINE et MARNE - Saison 2025 - 2026</t>
  </si>
  <si>
    <t>Championnat  départemental par équipes de QUATRE  (4) SEINE et MARNE - Saison 2025 - 2026</t>
  </si>
  <si>
    <t>Championnat  départemental par équipes JEUNES - SEINE et MARNE - Saison 2025 - 2026</t>
  </si>
  <si>
    <t>Coupes Nationales Île de France - Saison 2025 - 2026</t>
  </si>
  <si>
    <t>UFOLEP 77 – Championnat départemental à 3 - 2025 - 2026</t>
  </si>
  <si>
    <t>UFOLEP 77 – Championnat départemental à 4 - 2025 - 2026</t>
  </si>
  <si>
    <t>UFOLEP 77 – Championnat JEUNES - 2025 - 2026</t>
  </si>
  <si>
    <t>Coupes Départementales SEINE et MARNE - Saison  2025 - 2026</t>
  </si>
  <si>
    <t>UFOLEP 77 – Coupes Départementales 2025 - 2026</t>
  </si>
  <si>
    <t>UFOLEP 77 – Coupes Nationales 2025 - 2026</t>
  </si>
  <si>
    <t>Championnat</t>
  </si>
  <si>
    <t>Equipe de 3</t>
  </si>
  <si>
    <t>Equipe de 4</t>
  </si>
  <si>
    <t>Jeunes</t>
  </si>
  <si>
    <t>Coupes Départementales</t>
  </si>
  <si>
    <t>Coupes Nationales</t>
  </si>
  <si>
    <t xml:space="preserve"> J01</t>
  </si>
  <si>
    <t xml:space="preserve"> J02</t>
  </si>
  <si>
    <t xml:space="preserve"> J03</t>
  </si>
  <si>
    <t xml:space="preserve"> J04</t>
  </si>
  <si>
    <t xml:space="preserve"> J05</t>
  </si>
  <si>
    <t xml:space="preserve"> J06</t>
  </si>
  <si>
    <t xml:space="preserve"> J07</t>
  </si>
  <si>
    <t xml:space="preserve"> J08</t>
  </si>
  <si>
    <t xml:space="preserve"> J09</t>
  </si>
  <si>
    <t xml:space="preserve"> J10</t>
  </si>
  <si>
    <t xml:space="preserve"> J11 - finale</t>
  </si>
  <si>
    <r>
      <t>A - 1</t>
    </r>
    <r>
      <rPr>
        <vertAlign val="superscript"/>
        <sz val="12"/>
        <rFont val="Calibri"/>
        <family val="2"/>
        <scheme val="minor"/>
      </rPr>
      <t>er</t>
    </r>
    <r>
      <rPr>
        <sz val="12"/>
        <rFont val="Calibri"/>
        <family val="2"/>
        <scheme val="minor"/>
      </rPr>
      <t xml:space="preserve"> tour</t>
    </r>
  </si>
  <si>
    <r>
      <t>B - 1</t>
    </r>
    <r>
      <rPr>
        <vertAlign val="superscript"/>
        <sz val="12"/>
        <rFont val="Calibri"/>
        <family val="2"/>
        <scheme val="minor"/>
      </rPr>
      <t>er</t>
    </r>
    <r>
      <rPr>
        <sz val="12"/>
        <rFont val="Calibri"/>
        <family val="2"/>
        <scheme val="minor"/>
      </rPr>
      <t xml:space="preserve"> tour</t>
    </r>
  </si>
  <si>
    <r>
      <t>A - 2</t>
    </r>
    <r>
      <rPr>
        <vertAlign val="superscript"/>
        <sz val="12"/>
        <rFont val="Calibri"/>
        <family val="2"/>
        <scheme val="minor"/>
      </rPr>
      <t>e</t>
    </r>
    <r>
      <rPr>
        <sz val="12"/>
        <rFont val="Calibri"/>
        <family val="2"/>
        <scheme val="minor"/>
      </rPr>
      <t xml:space="preserve"> tour</t>
    </r>
  </si>
  <si>
    <r>
      <t>A - 3</t>
    </r>
    <r>
      <rPr>
        <vertAlign val="superscript"/>
        <sz val="12"/>
        <rFont val="Calibri"/>
        <family val="2"/>
        <scheme val="minor"/>
      </rPr>
      <t>e</t>
    </r>
    <r>
      <rPr>
        <sz val="12"/>
        <rFont val="Calibri"/>
        <family val="2"/>
        <scheme val="minor"/>
      </rPr>
      <t xml:space="preserve"> tour</t>
    </r>
  </si>
  <si>
    <r>
      <t>B - 2</t>
    </r>
    <r>
      <rPr>
        <vertAlign val="superscript"/>
        <sz val="12"/>
        <rFont val="Calibri"/>
        <family val="2"/>
        <scheme val="minor"/>
      </rPr>
      <t>e</t>
    </r>
    <r>
      <rPr>
        <sz val="12"/>
        <rFont val="Calibri"/>
        <family val="2"/>
        <scheme val="minor"/>
      </rPr>
      <t xml:space="preserve"> tour</t>
    </r>
  </si>
  <si>
    <r>
      <t>B - 3</t>
    </r>
    <r>
      <rPr>
        <vertAlign val="superscript"/>
        <sz val="12"/>
        <rFont val="Calibri"/>
        <family val="2"/>
        <scheme val="minor"/>
      </rPr>
      <t>e</t>
    </r>
    <r>
      <rPr>
        <sz val="12"/>
        <rFont val="Calibri"/>
        <family val="2"/>
        <scheme val="minor"/>
      </rPr>
      <t xml:space="preserve"> tour</t>
    </r>
  </si>
  <si>
    <r>
      <t>B - 4</t>
    </r>
    <r>
      <rPr>
        <vertAlign val="superscript"/>
        <sz val="12"/>
        <rFont val="Calibri"/>
        <family val="2"/>
        <scheme val="minor"/>
      </rPr>
      <t>e</t>
    </r>
    <r>
      <rPr>
        <sz val="12"/>
        <rFont val="Calibri"/>
        <family val="2"/>
        <scheme val="minor"/>
      </rPr>
      <t xml:space="preserve"> tour</t>
    </r>
  </si>
  <si>
    <t>Clt -11</t>
  </si>
  <si>
    <t>Finale - 11</t>
  </si>
  <si>
    <t>Classement - 11</t>
  </si>
  <si>
    <t>Chpt à 3</t>
  </si>
  <si>
    <t>Chpt à 4</t>
  </si>
  <si>
    <t>Chpt Jeune</t>
  </si>
  <si>
    <t xml:space="preserve"> J09 - Finale</t>
  </si>
  <si>
    <t>Clôture Engagement</t>
  </si>
  <si>
    <t xml:space="preserve"> chpt à3, chpt à4, Jeunes</t>
  </si>
  <si>
    <t xml:space="preserve"> Coupes Nationales</t>
  </si>
  <si>
    <t xml:space="preserve"> Indiv A : M D de 5 à 11</t>
  </si>
  <si>
    <t xml:space="preserve"> Indiv A et B : M D J toutes séries</t>
  </si>
  <si>
    <t xml:space="preserve"> Coupes Départementales</t>
  </si>
  <si>
    <t xml:space="preserve"> chpt à3, chpt à4, Jeunes - phase 2</t>
  </si>
  <si>
    <t xml:space="preserve"> TPED - 12 heures</t>
  </si>
  <si>
    <t>Coupe dépt</t>
  </si>
  <si>
    <t xml:space="preserve"> T1</t>
  </si>
  <si>
    <t xml:space="preserve"> T2 - 1/2 finale</t>
  </si>
  <si>
    <t xml:space="preserve"> T3 - finale</t>
  </si>
  <si>
    <t>Coupe dépt Jeune</t>
  </si>
  <si>
    <t xml:space="preserve"> T3- finale</t>
  </si>
  <si>
    <t>??</t>
  </si>
  <si>
    <t>Coupe Nat A - régional</t>
  </si>
  <si>
    <t xml:space="preserve"> T2</t>
  </si>
  <si>
    <t xml:space="preserve"> T3 -  si besoin</t>
  </si>
  <si>
    <t>Coupe Nat B - régional</t>
  </si>
  <si>
    <t xml:space="preserve"> T3</t>
  </si>
  <si>
    <t>Dépt A : Jeunes G F toutes categories</t>
  </si>
  <si>
    <t>Dépt B : jeunes G F toutes catégories</t>
  </si>
  <si>
    <t>Dépt Juniors G F, Adultes</t>
  </si>
  <si>
    <t>FERIE</t>
  </si>
  <si>
    <t xml:space="preserve"> ASCENSION</t>
  </si>
  <si>
    <t>Indiv A 5 à 11</t>
  </si>
  <si>
    <t xml:space="preserve"> Finale</t>
  </si>
  <si>
    <t>Indiv Adulte 5 à 8</t>
  </si>
  <si>
    <t xml:space="preserve">Inter Région A </t>
  </si>
  <si>
    <t xml:space="preserve"> Barrage</t>
  </si>
  <si>
    <t>Inter Région B</t>
  </si>
  <si>
    <t>Les 12 heures</t>
  </si>
  <si>
    <t>Lundi Pâques</t>
  </si>
  <si>
    <t>Nationaux A</t>
  </si>
  <si>
    <t xml:space="preserve">  AFFINITAIRE</t>
  </si>
  <si>
    <t xml:space="preserve">  Pentecôte</t>
  </si>
  <si>
    <t>Nationaux B</t>
  </si>
  <si>
    <t>Olympiades COUBERT</t>
  </si>
  <si>
    <t>Rég A jeunes77</t>
  </si>
  <si>
    <t>Rég B jeunes 91</t>
  </si>
  <si>
    <t>Rég B Juniors G F Adultes 91</t>
  </si>
  <si>
    <t>Régional A Juniors G F Adultes 77 affinitaire</t>
  </si>
  <si>
    <t>CD 3e tour</t>
  </si>
  <si>
    <t>?</t>
  </si>
  <si>
    <t>Je ne sais pas ; mettre date réelle</t>
  </si>
  <si>
    <t>Extrait du Calendier V4</t>
  </si>
  <si>
    <t>RADOUANI</t>
  </si>
  <si>
    <t>Othmane</t>
  </si>
  <si>
    <t>Jean-Louis</t>
  </si>
  <si>
    <t>RADO Oth</t>
  </si>
  <si>
    <t>VILL Jlo</t>
  </si>
  <si>
    <t>AIRAULT</t>
  </si>
  <si>
    <t>AIRA Phil</t>
  </si>
  <si>
    <t>MALO</t>
  </si>
  <si>
    <t>Karine</t>
  </si>
  <si>
    <t>MALO Kari</t>
  </si>
  <si>
    <t>Déborah</t>
  </si>
  <si>
    <t>LIGE Deb</t>
  </si>
  <si>
    <t>HYM</t>
  </si>
  <si>
    <t>HYM Mic</t>
  </si>
  <si>
    <t>CANTELOUP</t>
  </si>
  <si>
    <t>CANT Fre</t>
  </si>
  <si>
    <t>BOURDETTE</t>
  </si>
  <si>
    <t>BOBINEAU</t>
  </si>
  <si>
    <t>Shalyna</t>
  </si>
  <si>
    <t xml:space="preserve">DE AVEIRO </t>
  </si>
  <si>
    <t>Adriano</t>
  </si>
  <si>
    <t>FLUSIN</t>
  </si>
  <si>
    <t>FOURNIER</t>
  </si>
  <si>
    <t>POUGIN</t>
  </si>
  <si>
    <t>Charly</t>
  </si>
  <si>
    <t>RENARD</t>
  </si>
  <si>
    <t>THOMAS</t>
  </si>
  <si>
    <t>Corinne</t>
  </si>
  <si>
    <t>DUSSART</t>
  </si>
  <si>
    <t>OFFMANN</t>
  </si>
  <si>
    <t>Hélène</t>
  </si>
  <si>
    <t>TOUSSAINT</t>
  </si>
  <si>
    <t>Charles</t>
  </si>
  <si>
    <t>LERA</t>
  </si>
  <si>
    <t>FANON</t>
  </si>
  <si>
    <t>Sejou</t>
  </si>
  <si>
    <t>SRENG</t>
  </si>
  <si>
    <t>MARZOUK</t>
  </si>
  <si>
    <t>Nasreddine</t>
  </si>
  <si>
    <t>Amélie</t>
  </si>
  <si>
    <t>THOMERT</t>
  </si>
  <si>
    <t>STRULLU</t>
  </si>
  <si>
    <t>ZHANG DEVESA</t>
  </si>
  <si>
    <t>Stefano</t>
  </si>
  <si>
    <t>MALARD</t>
  </si>
  <si>
    <t>Estelle</t>
  </si>
  <si>
    <t>KHOUAS</t>
  </si>
  <si>
    <t>Mike</t>
  </si>
  <si>
    <t>TYCHEKEWITCHE</t>
  </si>
  <si>
    <t>PLUSQUELEC</t>
  </si>
  <si>
    <t>BESANA</t>
  </si>
  <si>
    <t>ROCHES</t>
  </si>
  <si>
    <t>Laetitia</t>
  </si>
  <si>
    <t>ZHENG</t>
  </si>
  <si>
    <t>HANAUER</t>
  </si>
  <si>
    <t>BERTINI</t>
  </si>
  <si>
    <t>Emile</t>
  </si>
  <si>
    <t>ROUILLARD</t>
  </si>
  <si>
    <t>Fabien</t>
  </si>
  <si>
    <t>DEVAULT</t>
  </si>
  <si>
    <t>THAMALET</t>
  </si>
  <si>
    <t>CONAN</t>
  </si>
  <si>
    <t>Frédérique</t>
  </si>
  <si>
    <t>NOULETTE</t>
  </si>
  <si>
    <t>TOMAS SOLDATI</t>
  </si>
  <si>
    <t>YHUEL</t>
  </si>
  <si>
    <t>LI Sej</t>
  </si>
  <si>
    <t>LU Ame</t>
  </si>
  <si>
    <t>MALA Est</t>
  </si>
  <si>
    <t>MARZ Nas</t>
  </si>
  <si>
    <t>SREN Col</t>
  </si>
  <si>
    <t>STRU Pas</t>
  </si>
  <si>
    <t>THOM Eri</t>
  </si>
  <si>
    <t>ZHAN Ste</t>
  </si>
  <si>
    <t>FANO Chr</t>
  </si>
  <si>
    <t>LERA Eri</t>
  </si>
  <si>
    <t>OFFM San</t>
  </si>
  <si>
    <t>TOUS Cha</t>
  </si>
  <si>
    <t>REBO Hel</t>
  </si>
  <si>
    <t>DUSS Seb</t>
  </si>
  <si>
    <t>BERT Emi</t>
  </si>
  <si>
    <t>BERT Eth</t>
  </si>
  <si>
    <t>HANA Emm</t>
  </si>
  <si>
    <t>MINE Mat</t>
  </si>
  <si>
    <t>ROUI Fab</t>
  </si>
  <si>
    <t>ZHEN Chr</t>
  </si>
  <si>
    <t>BESA Thi</t>
  </si>
  <si>
    <t>KHOU Mik</t>
  </si>
  <si>
    <t>ROCH Lae</t>
  </si>
  <si>
    <t>TYCH Dav</t>
  </si>
  <si>
    <t>PLUS Jer</t>
  </si>
  <si>
    <t>DEVA Cla</t>
  </si>
  <si>
    <t>THAM Mar</t>
  </si>
  <si>
    <t>CONA Fre</t>
  </si>
  <si>
    <t>NOUL Aar</t>
  </si>
  <si>
    <t>TOMA Lou</t>
  </si>
  <si>
    <t>YHUE Mat</t>
  </si>
  <si>
    <t>BOBI Sha</t>
  </si>
  <si>
    <t>BOUR Pie</t>
  </si>
  <si>
    <t>FLUS Ale</t>
  </si>
  <si>
    <t>FOUR Elo</t>
  </si>
  <si>
    <t>POUG Cha</t>
  </si>
  <si>
    <t>RENA Fra</t>
  </si>
  <si>
    <t>ROUS Pie</t>
  </si>
  <si>
    <t>THOM Cor</t>
  </si>
  <si>
    <t>THOM Oli</t>
  </si>
  <si>
    <t>lefevre.herve@outlook.fr</t>
  </si>
  <si>
    <t>ccsv.vulaines@gmail.com</t>
  </si>
  <si>
    <t>TRIGALO WOJAKOWSKI</t>
  </si>
  <si>
    <t xml:space="preserve">DUPONT </t>
  </si>
  <si>
    <t>Licence Nok</t>
  </si>
  <si>
    <t>DUPO Lau</t>
  </si>
  <si>
    <t>TRIG Ben</t>
  </si>
  <si>
    <t>HASS Jcl</t>
  </si>
  <si>
    <t>CARREIRA</t>
  </si>
  <si>
    <t>BUISSON</t>
  </si>
  <si>
    <t>BROSSE</t>
  </si>
  <si>
    <t>MADEIRA</t>
  </si>
  <si>
    <t>Nelia</t>
  </si>
  <si>
    <t>Timéo</t>
  </si>
  <si>
    <t>SOULIS</t>
  </si>
  <si>
    <t>Anaïs</t>
  </si>
  <si>
    <t>Pierre-Marie</t>
  </si>
  <si>
    <t>SIMARD</t>
  </si>
  <si>
    <t>Noa</t>
  </si>
  <si>
    <t>PIOLLET</t>
  </si>
  <si>
    <t>PIOL Art</t>
  </si>
  <si>
    <t>GUERREIRO</t>
  </si>
  <si>
    <t>CHARETIE</t>
  </si>
  <si>
    <t>Nathael</t>
  </si>
  <si>
    <t>GILBLAS</t>
  </si>
  <si>
    <t>Malo</t>
  </si>
  <si>
    <t>DEHES</t>
  </si>
  <si>
    <t>BOUVIER</t>
  </si>
  <si>
    <t>MARTHOU</t>
  </si>
  <si>
    <t>Clément</t>
  </si>
  <si>
    <t>LEBOEUF</t>
  </si>
  <si>
    <t>CIURKO</t>
  </si>
  <si>
    <t>ALOUI</t>
  </si>
  <si>
    <t>Mohamed Aziz</t>
  </si>
  <si>
    <t>Rémy</t>
  </si>
  <si>
    <t>VERCRUYSSE</t>
  </si>
  <si>
    <t>Duncan</t>
  </si>
  <si>
    <t>LAHRACH</t>
  </si>
  <si>
    <t>Loevan</t>
  </si>
  <si>
    <t>LANOIR OLIVEIRA LIMA</t>
  </si>
  <si>
    <t>Darren</t>
  </si>
  <si>
    <t>HALLE SMITS</t>
  </si>
  <si>
    <t>PIRET</t>
  </si>
  <si>
    <t>ROUTIER</t>
  </si>
  <si>
    <t>MAZURIER</t>
  </si>
  <si>
    <t>LANDEREAU</t>
  </si>
  <si>
    <t>CASSE</t>
  </si>
  <si>
    <t>Elina</t>
  </si>
  <si>
    <t>CATRIN GOMES</t>
  </si>
  <si>
    <t>Gabrielle</t>
  </si>
  <si>
    <t>Noe</t>
  </si>
  <si>
    <t>REFAUVELET</t>
  </si>
  <si>
    <t>Gérard</t>
  </si>
  <si>
    <t>DUCROCQ-LANGEL</t>
  </si>
  <si>
    <t>RODOT</t>
  </si>
  <si>
    <t>Camyll</t>
  </si>
  <si>
    <t>Lucyan</t>
  </si>
  <si>
    <t>Camille</t>
  </si>
  <si>
    <t>DUPRE PARISOT</t>
  </si>
  <si>
    <t>Gael</t>
  </si>
  <si>
    <t>LAMOTTE</t>
  </si>
  <si>
    <t>Eliza</t>
  </si>
  <si>
    <t>PAUPE</t>
  </si>
  <si>
    <t>François</t>
  </si>
  <si>
    <t>INIZIAN</t>
  </si>
  <si>
    <t>Joris</t>
  </si>
  <si>
    <t>RANAIVOSON</t>
  </si>
  <si>
    <t>Heriharijaona</t>
  </si>
  <si>
    <t>ROBIN</t>
  </si>
  <si>
    <t>Evann</t>
  </si>
  <si>
    <t>Malone</t>
  </si>
  <si>
    <t>MTIBAA</t>
  </si>
  <si>
    <t>Marwen</t>
  </si>
  <si>
    <t>PROUVAY</t>
  </si>
  <si>
    <t>Florent</t>
  </si>
  <si>
    <t>LACHAISE</t>
  </si>
  <si>
    <t>Eden</t>
  </si>
  <si>
    <t>GROSJEAN</t>
  </si>
  <si>
    <t>Lino</t>
  </si>
  <si>
    <t>Sohan</t>
  </si>
  <si>
    <t>SEGUI</t>
  </si>
  <si>
    <t>STAN</t>
  </si>
  <si>
    <t>Darius</t>
  </si>
  <si>
    <t>WUITHIER</t>
  </si>
  <si>
    <t>MARTIN POTIRON</t>
  </si>
  <si>
    <t>JARDINET</t>
  </si>
  <si>
    <t>Célia</t>
  </si>
  <si>
    <t>GORON</t>
  </si>
  <si>
    <t>Gaetan</t>
  </si>
  <si>
    <t>Véronique</t>
  </si>
  <si>
    <t>BOISSOT</t>
  </si>
  <si>
    <t>Trisan</t>
  </si>
  <si>
    <t>Catherine</t>
  </si>
  <si>
    <t>Helio</t>
  </si>
  <si>
    <t>VEINIERE</t>
  </si>
  <si>
    <t>Achille</t>
  </si>
  <si>
    <t>BARRAULT GUEBIN</t>
  </si>
  <si>
    <t>GAULE</t>
  </si>
  <si>
    <t>Patrick</t>
  </si>
  <si>
    <t>SADOUX</t>
  </si>
  <si>
    <t>Marjorie</t>
  </si>
  <si>
    <t>LAND Jer</t>
  </si>
  <si>
    <t>BUIS Adr</t>
  </si>
  <si>
    <t>BUIS Ale</t>
  </si>
  <si>
    <t>BROS Wil</t>
  </si>
  <si>
    <t>CARR Nic</t>
  </si>
  <si>
    <t>MADE Nel</t>
  </si>
  <si>
    <t>MADE Tim</t>
  </si>
  <si>
    <t>SOUL Ana</t>
  </si>
  <si>
    <t>SOUL Pma</t>
  </si>
  <si>
    <t>LAUM Syl</t>
  </si>
  <si>
    <t>SIMA Noa</t>
  </si>
  <si>
    <t>LEBR Emi</t>
  </si>
  <si>
    <t>LEBR Gui</t>
  </si>
  <si>
    <t>MAZU Cla</t>
  </si>
  <si>
    <t>ROUT Loi</t>
  </si>
  <si>
    <t>ALOU Moh</t>
  </si>
  <si>
    <t>BOUV Vic</t>
  </si>
  <si>
    <t>CHAR Nat</t>
  </si>
  <si>
    <t>CIUR Alb</t>
  </si>
  <si>
    <t>CIUR Eli</t>
  </si>
  <si>
    <t>DEHE Enz</t>
  </si>
  <si>
    <t>DUVA Mal</t>
  </si>
  <si>
    <t>CIUR Rem</t>
  </si>
  <si>
    <t>GILB Nat</t>
  </si>
  <si>
    <t>GUER Hug</t>
  </si>
  <si>
    <t>HALL Clo</t>
  </si>
  <si>
    <t>LAHR Adr</t>
  </si>
  <si>
    <t>LANO Dar</t>
  </si>
  <si>
    <t>LEBO Noa</t>
  </si>
  <si>
    <t>LE GO Nat</t>
  </si>
  <si>
    <t>MART Cle</t>
  </si>
  <si>
    <t>SEGU Loe</t>
  </si>
  <si>
    <t>VERC Dun</t>
  </si>
  <si>
    <t>PIRE Oli</t>
  </si>
  <si>
    <t>BARR Enz</t>
  </si>
  <si>
    <t>BERN Cat</t>
  </si>
  <si>
    <t>BOIS Art</t>
  </si>
  <si>
    <t>BOUR Jer</t>
  </si>
  <si>
    <t>DONN Ver</t>
  </si>
  <si>
    <t>GAUL Pat</t>
  </si>
  <si>
    <t>GORO Gae</t>
  </si>
  <si>
    <t>GROS Lin</t>
  </si>
  <si>
    <t>GROS Soh</t>
  </si>
  <si>
    <t>JACQ Vin</t>
  </si>
  <si>
    <t>LACH Ede</t>
  </si>
  <si>
    <t>LACH Noh</t>
  </si>
  <si>
    <t>JARD Cel</t>
  </si>
  <si>
    <t>MART Hel</t>
  </si>
  <si>
    <t>MART Est</t>
  </si>
  <si>
    <t>MTIB Mar</t>
  </si>
  <si>
    <t>MTIB Moh</t>
  </si>
  <si>
    <t>PROU Flo</t>
  </si>
  <si>
    <t>PROU Jea</t>
  </si>
  <si>
    <t>ROBI Eva</t>
  </si>
  <si>
    <t>ROBI Mal</t>
  </si>
  <si>
    <t>SADO Mar</t>
  </si>
  <si>
    <t>SEGU Nat</t>
  </si>
  <si>
    <t>STAN Dar</t>
  </si>
  <si>
    <t>VEIN Ach</t>
  </si>
  <si>
    <t>WUIT Flo</t>
  </si>
  <si>
    <t>CASS Eli</t>
  </si>
  <si>
    <t>CASS Noe</t>
  </si>
  <si>
    <t>CASS Ste</t>
  </si>
  <si>
    <t>CATR Gab</t>
  </si>
  <si>
    <t>DUCR Tim</t>
  </si>
  <si>
    <t>DUPR Gae</t>
  </si>
  <si>
    <t>REFA Ger</t>
  </si>
  <si>
    <t>RODO Cam</t>
  </si>
  <si>
    <t>RODO Luc</t>
  </si>
  <si>
    <t>TOMA Cam</t>
  </si>
  <si>
    <t>INIZ Jor</t>
  </si>
  <si>
    <t>LAMO Eli</t>
  </si>
  <si>
    <t>PAUP Fra</t>
  </si>
  <si>
    <t>RANA Her</t>
  </si>
  <si>
    <t>LE GO Mari</t>
  </si>
  <si>
    <t>BOULAND</t>
  </si>
  <si>
    <t>Alméris</t>
  </si>
  <si>
    <t>DOS REIS</t>
  </si>
  <si>
    <t>Tiphaine</t>
  </si>
  <si>
    <t>HADJADJ</t>
  </si>
  <si>
    <t>Mélisse</t>
  </si>
  <si>
    <t>BAZIZ</t>
  </si>
  <si>
    <t>Nabil</t>
  </si>
  <si>
    <t>FUZIER</t>
  </si>
  <si>
    <t>Geoffrey</t>
  </si>
  <si>
    <t>JOACHIM</t>
  </si>
  <si>
    <t>MARTIN-LEMAGNE</t>
  </si>
  <si>
    <t>Caroline</t>
  </si>
  <si>
    <t xml:space="preserve">MASSON </t>
  </si>
  <si>
    <t>PARTISOTTI</t>
  </si>
  <si>
    <t>Mattia</t>
  </si>
  <si>
    <t>BAZI Nab</t>
  </si>
  <si>
    <t>BOUL Alm</t>
  </si>
  <si>
    <t>DOS Thi</t>
  </si>
  <si>
    <t>FUZI Geo</t>
  </si>
  <si>
    <t>HADJ Mel</t>
  </si>
  <si>
    <t>JOAC Seb</t>
  </si>
  <si>
    <t>MASS Ama</t>
  </si>
  <si>
    <t>MART Car</t>
  </si>
  <si>
    <t>PART Mat</t>
  </si>
  <si>
    <t>pascalou.marie77@gmail.com</t>
  </si>
  <si>
    <t>DE Av Adr</t>
  </si>
  <si>
    <t>ufolep.equipe4@gmail.com 
et 
alain.guillomet@orange.fr</t>
  </si>
  <si>
    <r>
      <rPr>
        <b/>
        <u/>
        <sz val="10"/>
        <color theme="1"/>
        <rFont val="Calibri (Corps)"/>
      </rPr>
      <t>IMPORTANT</t>
    </r>
    <r>
      <rPr>
        <sz val="10"/>
        <color theme="1"/>
        <rFont val="Calibri"/>
        <family val="2"/>
        <scheme val="minor"/>
      </rPr>
      <t xml:space="preserve"> : Envoyer la feuille au responsable du Championnat à 4 : </t>
    </r>
    <r>
      <rPr>
        <b/>
        <sz val="10"/>
        <color rgb="FFFF0000"/>
        <rFont val="Calibri"/>
        <family val="2"/>
        <scheme val="minor"/>
      </rPr>
      <t>Raymond SMIALKOWSKI</t>
    </r>
    <r>
      <rPr>
        <sz val="10"/>
        <color theme="1"/>
        <rFont val="Calibri"/>
        <family val="2"/>
        <scheme val="minor"/>
      </rPr>
      <t xml:space="preserve"> 06 52 91 69 81 et </t>
    </r>
    <r>
      <rPr>
        <b/>
        <sz val="10"/>
        <color rgb="FFFF0000"/>
        <rFont val="Calibri"/>
        <family val="2"/>
        <scheme val="minor"/>
      </rPr>
      <t>Alain GUILLOMET</t>
    </r>
    <r>
      <rPr>
        <sz val="10"/>
        <color theme="1"/>
        <rFont val="Calibri"/>
        <family val="2"/>
        <scheme val="minor"/>
      </rPr>
      <t xml:space="preserve"> 06 71 86 04 86</t>
    </r>
  </si>
  <si>
    <t>ECARNOT</t>
  </si>
  <si>
    <t>Stanislas</t>
  </si>
  <si>
    <t>PEREIRA MARTINS SERRAO</t>
  </si>
  <si>
    <t>ECAR Sta</t>
  </si>
  <si>
    <t>PERE Luc</t>
  </si>
  <si>
    <t>OZER</t>
  </si>
  <si>
    <t>Mayra</t>
  </si>
  <si>
    <t>OZER May</t>
  </si>
  <si>
    <t>ASRI</t>
  </si>
  <si>
    <t>Youcef</t>
  </si>
  <si>
    <t>ASRI You</t>
  </si>
  <si>
    <t>MASS Cam</t>
  </si>
  <si>
    <t>Neil</t>
  </si>
  <si>
    <t>SOZU Nei</t>
  </si>
  <si>
    <t>LE GUILLOU</t>
  </si>
  <si>
    <t>LE G Bri</t>
  </si>
  <si>
    <t>Mise à jour du 24 Novembre 2025</t>
  </si>
  <si>
    <t>(Plusieurs éléments)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</si>
</sst>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[$-F800]dddd\,\ mmmm\ dd\,\ yyyy"/>
    <numFmt numFmtId="165" formatCode="dd/mm/yy;@"/>
    <numFmt numFmtId="166" formatCode="d/m/yy;@"/>
    <numFmt numFmtId="167" formatCode="[$-40C]d\-mmm\-yy;@"/>
    <numFmt numFmtId="168" formatCode="d\-mmm\-yy;@"/>
    <numFmt numFmtId="169" formatCode="dd/mm/yy"/>
    <numFmt numFmtId="170" formatCode="[$-40C]d\-mmm;@"/>
  </numFmts>
  <fonts count="91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 val="double"/>
      <sz val="16"/>
      <color rgb="FFFF0000"/>
      <name val="Calibri"/>
      <family val="2"/>
      <scheme val="minor"/>
    </font>
    <font>
      <b/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u/>
      <sz val="7.2"/>
      <color theme="10"/>
      <name val="Calibri"/>
      <family val="2"/>
    </font>
    <font>
      <sz val="14"/>
      <color indexed="81"/>
      <name val="Tahoma"/>
      <family val="2"/>
    </font>
    <font>
      <b/>
      <sz val="14"/>
      <color indexed="81"/>
      <name val="Tahoma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10"/>
      <name val="Tahoma"/>
      <family val="2"/>
    </font>
    <font>
      <b/>
      <sz val="12"/>
      <color indexed="10"/>
      <name val="Tahoma"/>
      <family val="2"/>
    </font>
    <font>
      <b/>
      <u/>
      <sz val="12"/>
      <color indexed="10"/>
      <name val="Tahoma"/>
      <family val="2"/>
    </font>
    <font>
      <b/>
      <sz val="14"/>
      <color indexed="10"/>
      <name val="Tahoma"/>
      <family val="2"/>
    </font>
    <font>
      <b/>
      <u/>
      <sz val="14"/>
      <color indexed="10"/>
      <name val="Tahoma"/>
      <family val="2"/>
    </font>
    <font>
      <i/>
      <sz val="10"/>
      <color theme="1"/>
      <name val="Calibri"/>
      <family val="2"/>
      <scheme val="minor"/>
    </font>
    <font>
      <b/>
      <u/>
      <sz val="12"/>
      <color indexed="81"/>
      <name val="Tahoma"/>
      <family val="2"/>
    </font>
    <font>
      <sz val="1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0"/>
      <color theme="1"/>
      <name val="Calibri (Corps)"/>
    </font>
    <font>
      <b/>
      <sz val="10"/>
      <color rgb="FFFF0000"/>
      <name val="Calibri"/>
      <family val="2"/>
      <scheme val="minor"/>
    </font>
    <font>
      <b/>
      <u/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 val="double"/>
      <sz val="12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0"/>
      <color rgb="FFFF0000"/>
      <name val="Calibri"/>
      <family val="2"/>
    </font>
    <font>
      <u/>
      <sz val="10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8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u/>
      <sz val="10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b/>
      <sz val="9"/>
      <color rgb="FF000000"/>
      <name val="Calibri"/>
      <family val="2"/>
      <charset val="1"/>
    </font>
    <font>
      <b/>
      <sz val="8"/>
      <color rgb="FF000000"/>
      <name val="Calibri"/>
      <family val="2"/>
      <charset val="1"/>
    </font>
    <font>
      <u/>
      <sz val="12"/>
      <color rgb="FFFF0000"/>
      <name val="Calibri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000000"/>
      <name val="Calibri"/>
      <family val="2"/>
      <charset val="1"/>
    </font>
    <font>
      <b/>
      <sz val="16"/>
      <color rgb="FF000000"/>
      <name val="Calibri"/>
      <family val="2"/>
    </font>
    <font>
      <b/>
      <sz val="14"/>
      <color rgb="FF000000"/>
      <name val="Calibri"/>
      <family val="2"/>
    </font>
    <font>
      <vertAlign val="superscript"/>
      <sz val="12"/>
      <color rgb="FF000000"/>
      <name val="Calibri"/>
      <family val="2"/>
    </font>
    <font>
      <sz val="8"/>
      <name val="Calibri"/>
      <family val="2"/>
      <scheme val="minor"/>
    </font>
    <font>
      <b/>
      <sz val="12"/>
      <color theme="0"/>
      <name val="Calibri"/>
      <family val="2"/>
      <scheme val="minor"/>
    </font>
    <font>
      <vertAlign val="superscript"/>
      <sz val="12"/>
      <name val="Calibri"/>
      <family val="2"/>
      <scheme val="minor"/>
    </font>
    <font>
      <u/>
      <sz val="9"/>
      <color theme="1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EEEEE"/>
        <bgColor rgb="FFFFF2CC"/>
      </patternFill>
    </fill>
    <fill>
      <patternFill patternType="solid">
        <fgColor rgb="FF002060"/>
        <bgColor indexed="64"/>
      </patternFill>
    </fill>
    <fill>
      <patternFill patternType="solid">
        <fgColor theme="7" tint="0.79998168889431442"/>
        <bgColor theme="9" tint="0.79998168889431442"/>
      </patternFill>
    </fill>
  </fills>
  <borders count="106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/>
      <top style="double">
        <color auto="1"/>
      </top>
      <bottom/>
      <diagonal/>
    </border>
    <border>
      <left style="thin">
        <color indexed="64"/>
      </left>
      <right/>
      <top/>
      <bottom style="double">
        <color auto="1"/>
      </bottom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 style="thin">
        <color indexed="64"/>
      </bottom>
      <diagonal/>
    </border>
    <border>
      <left/>
      <right/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double">
        <color auto="1"/>
      </bottom>
      <diagonal/>
    </border>
    <border>
      <left style="double">
        <color auto="1"/>
      </left>
      <right style="thin">
        <color indexed="64"/>
      </right>
      <top style="double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 style="thin">
        <color indexed="64"/>
      </bottom>
      <diagonal/>
    </border>
    <border>
      <left/>
      <right style="thin">
        <color indexed="64"/>
      </right>
      <top style="double">
        <color auto="1"/>
      </top>
      <bottom style="thin">
        <color indexed="64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indexed="64"/>
      </left>
      <right/>
      <top style="double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theme="9" tint="-0.499984740745262"/>
      </left>
      <right style="thin">
        <color theme="9" tint="-0.499984740745262"/>
      </right>
      <top style="thin">
        <color theme="9" tint="-0.499984740745262"/>
      </top>
      <bottom style="thin">
        <color theme="9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thin">
        <color indexed="64"/>
      </top>
      <bottom style="dashed">
        <color auto="1"/>
      </bottom>
      <diagonal/>
    </border>
    <border>
      <left/>
      <right/>
      <top style="thin">
        <color indexed="64"/>
      </top>
      <bottom style="dashed">
        <color auto="1"/>
      </bottom>
      <diagonal/>
    </border>
    <border>
      <left/>
      <right style="double">
        <color auto="1"/>
      </right>
      <top style="thin">
        <color indexed="64"/>
      </top>
      <bottom style="dashed">
        <color auto="1"/>
      </bottom>
      <diagonal/>
    </border>
    <border>
      <left style="double">
        <color auto="1"/>
      </left>
      <right/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double">
        <color auto="1"/>
      </right>
      <top style="dashed">
        <color auto="1"/>
      </top>
      <bottom style="dashed">
        <color auto="1"/>
      </bottom>
      <diagonal/>
    </border>
    <border>
      <left style="double">
        <color auto="1"/>
      </left>
      <right/>
      <top style="dashed">
        <color auto="1"/>
      </top>
      <bottom style="double">
        <color auto="1"/>
      </bottom>
      <diagonal/>
    </border>
    <border>
      <left/>
      <right/>
      <top style="dashed">
        <color auto="1"/>
      </top>
      <bottom style="double">
        <color auto="1"/>
      </bottom>
      <diagonal/>
    </border>
    <border>
      <left/>
      <right style="double">
        <color auto="1"/>
      </right>
      <top style="dashed">
        <color auto="1"/>
      </top>
      <bottom style="double">
        <color auto="1"/>
      </bottom>
      <diagonal/>
    </border>
    <border>
      <left style="double">
        <color auto="1"/>
      </left>
      <right style="thin">
        <color indexed="64"/>
      </right>
      <top style="thin">
        <color indexed="64"/>
      </top>
      <bottom style="dash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auto="1"/>
      </bottom>
      <diagonal/>
    </border>
    <border>
      <left/>
      <right style="thin">
        <color auto="1"/>
      </right>
      <top style="thin">
        <color indexed="64"/>
      </top>
      <bottom style="dashed">
        <color auto="1"/>
      </bottom>
      <diagonal/>
    </border>
    <border>
      <left style="double">
        <color auto="1"/>
      </left>
      <right style="thin">
        <color indexed="64"/>
      </right>
      <top style="dashed">
        <color auto="1"/>
      </top>
      <bottom style="dashed">
        <color auto="1"/>
      </bottom>
      <diagonal/>
    </border>
    <border>
      <left style="thin">
        <color indexed="64"/>
      </left>
      <right style="thin">
        <color indexed="64"/>
      </right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dashed">
        <color auto="1"/>
      </bottom>
      <diagonal/>
    </border>
    <border>
      <left style="double">
        <color auto="1"/>
      </left>
      <right style="thin">
        <color indexed="64"/>
      </right>
      <top style="dashed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dashed">
        <color auto="1"/>
      </top>
      <bottom style="double">
        <color auto="1"/>
      </bottom>
      <diagonal/>
    </border>
    <border>
      <left/>
      <right style="thin">
        <color auto="1"/>
      </right>
      <top style="dashed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indexed="64"/>
      </top>
      <bottom style="dashed">
        <color auto="1"/>
      </bottom>
      <diagonal/>
    </border>
    <border>
      <left style="thin">
        <color indexed="64"/>
      </left>
      <right/>
      <top style="dashed">
        <color auto="1"/>
      </top>
      <bottom style="double">
        <color auto="1"/>
      </bottom>
      <diagonal/>
    </border>
    <border>
      <left style="double">
        <color auto="1"/>
      </left>
      <right/>
      <top style="thin">
        <color indexed="64"/>
      </top>
      <bottom style="dotted">
        <color auto="1"/>
      </bottom>
      <diagonal/>
    </border>
    <border>
      <left/>
      <right/>
      <top style="thin">
        <color indexed="64"/>
      </top>
      <bottom style="dotted">
        <color auto="1"/>
      </bottom>
      <diagonal/>
    </border>
    <border>
      <left/>
      <right style="double">
        <color auto="1"/>
      </right>
      <top style="thin">
        <color indexed="64"/>
      </top>
      <bottom style="dotted">
        <color auto="1"/>
      </bottom>
      <diagonal/>
    </border>
    <border>
      <left style="double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double">
        <color auto="1"/>
      </right>
      <top style="dotted">
        <color auto="1"/>
      </top>
      <bottom style="dotted">
        <color auto="1"/>
      </bottom>
      <diagonal/>
    </border>
    <border>
      <left style="double">
        <color auto="1"/>
      </left>
      <right/>
      <top style="dotted">
        <color auto="1"/>
      </top>
      <bottom style="double">
        <color auto="1"/>
      </bottom>
      <diagonal/>
    </border>
    <border>
      <left/>
      <right/>
      <top style="dotted">
        <color auto="1"/>
      </top>
      <bottom style="double">
        <color auto="1"/>
      </bottom>
      <diagonal/>
    </border>
    <border>
      <left/>
      <right style="double">
        <color auto="1"/>
      </right>
      <top style="dotted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/>
      <top style="thin">
        <color indexed="64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/>
      <right style="thin">
        <color indexed="64"/>
      </right>
      <top style="dotted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double">
        <color auto="1"/>
      </bottom>
      <diagonal/>
    </border>
    <border>
      <left style="thin">
        <color indexed="64"/>
      </left>
      <right/>
      <top style="dotted">
        <color auto="1"/>
      </top>
      <bottom style="double">
        <color auto="1"/>
      </bottom>
      <diagonal/>
    </border>
    <border>
      <left style="double">
        <color auto="1"/>
      </left>
      <right style="thin">
        <color indexed="64"/>
      </right>
      <top style="thin">
        <color indexed="64"/>
      </top>
      <bottom style="dotted">
        <color auto="1"/>
      </bottom>
      <diagonal/>
    </border>
    <border>
      <left style="double">
        <color auto="1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double">
        <color auto="1"/>
      </left>
      <right style="thin">
        <color indexed="64"/>
      </right>
      <top style="dotted">
        <color auto="1"/>
      </top>
      <bottom style="double">
        <color auto="1"/>
      </bottom>
      <diagonal/>
    </border>
    <border>
      <left style="double">
        <color auto="1"/>
      </left>
      <right/>
      <top style="dotted">
        <color auto="1"/>
      </top>
      <bottom/>
      <diagonal/>
    </border>
    <border>
      <left/>
      <right style="thin">
        <color indexed="64"/>
      </right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 style="thin">
        <color indexed="64"/>
      </left>
      <right style="thin">
        <color indexed="64"/>
      </right>
      <top style="dotted">
        <color auto="1"/>
      </top>
      <bottom/>
      <diagonal/>
    </border>
    <border>
      <left style="thin">
        <color indexed="64"/>
      </left>
      <right/>
      <top style="dotted">
        <color auto="1"/>
      </top>
      <bottom/>
      <diagonal/>
    </border>
    <border>
      <left/>
      <right style="double">
        <color auto="1"/>
      </right>
      <top style="dotted">
        <color auto="1"/>
      </top>
      <bottom/>
      <diagonal/>
    </border>
    <border>
      <left style="double">
        <color auto="1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dashed">
        <color auto="1"/>
      </bottom>
      <diagonal/>
    </border>
    <border>
      <left style="double">
        <color auto="1"/>
      </left>
      <right style="dashed">
        <color indexed="64"/>
      </right>
      <top style="dashed">
        <color auto="1"/>
      </top>
      <bottom style="double">
        <color auto="1"/>
      </bottom>
      <diagonal/>
    </border>
    <border>
      <left style="double">
        <color auto="1"/>
      </left>
      <right style="dashed">
        <color indexed="64"/>
      </right>
      <top style="dashed">
        <color auto="1"/>
      </top>
      <bottom style="dashed">
        <color auto="1"/>
      </bottom>
      <diagonal/>
    </border>
    <border>
      <left style="dashed">
        <color indexed="64"/>
      </left>
      <right style="dashed">
        <color indexed="64"/>
      </right>
      <top style="dashed">
        <color auto="1"/>
      </top>
      <bottom style="double">
        <color auto="1"/>
      </bottom>
      <diagonal/>
    </border>
    <border>
      <left style="dashed">
        <color indexed="64"/>
      </left>
      <right style="dashed">
        <color indexed="64"/>
      </right>
      <top style="dashed">
        <color auto="1"/>
      </top>
      <bottom style="dashed">
        <color auto="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2">
    <xf numFmtId="0" fontId="0" fillId="0" borderId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8" fillId="0" borderId="0"/>
  </cellStyleXfs>
  <cellXfs count="548">
    <xf numFmtId="0" fontId="0" fillId="0" borderId="0" xfId="0"/>
    <xf numFmtId="0" fontId="0" fillId="0" borderId="0" xfId="0" applyAlignment="1">
      <alignment horizontal="center"/>
    </xf>
    <xf numFmtId="0" fontId="24" fillId="0" borderId="0" xfId="0" applyFont="1"/>
    <xf numFmtId="0" fontId="26" fillId="0" borderId="0" xfId="0" applyFont="1"/>
    <xf numFmtId="14" fontId="26" fillId="0" borderId="0" xfId="0" applyNumberFormat="1" applyFont="1"/>
    <xf numFmtId="0" fontId="0" fillId="0" borderId="16" xfId="0" applyBorder="1"/>
    <xf numFmtId="0" fontId="0" fillId="3" borderId="0" xfId="0" applyFill="1" applyAlignment="1">
      <alignment vertical="top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5" fillId="0" borderId="0" xfId="0" applyFont="1"/>
    <xf numFmtId="0" fontId="19" fillId="4" borderId="18" xfId="0" applyFont="1" applyFill="1" applyBorder="1" applyAlignment="1">
      <alignment horizontal="center"/>
    </xf>
    <xf numFmtId="0" fontId="31" fillId="0" borderId="0" xfId="0" applyFont="1"/>
    <xf numFmtId="0" fontId="22" fillId="0" borderId="0" xfId="0" applyFont="1" applyAlignment="1">
      <alignment horizontal="left" vertical="center"/>
    </xf>
    <xf numFmtId="164" fontId="0" fillId="0" borderId="0" xfId="0" applyNumberFormat="1" applyAlignment="1" applyProtection="1">
      <alignment horizontal="left"/>
      <protection locked="0"/>
    </xf>
    <xf numFmtId="0" fontId="35" fillId="0" borderId="0" xfId="0" applyFont="1"/>
    <xf numFmtId="0" fontId="36" fillId="0" borderId="19" xfId="0" applyFont="1" applyBorder="1" applyAlignment="1">
      <alignment horizontal="center" vertical="top"/>
    </xf>
    <xf numFmtId="0" fontId="37" fillId="0" borderId="19" xfId="0" applyFont="1" applyBorder="1" applyAlignment="1">
      <alignment horizontal="left" vertical="top" wrapText="1"/>
    </xf>
    <xf numFmtId="0" fontId="38" fillId="0" borderId="19" xfId="0" applyFont="1" applyBorder="1" applyAlignment="1">
      <alignment horizontal="left" vertical="top" wrapText="1"/>
    </xf>
    <xf numFmtId="0" fontId="36" fillId="0" borderId="19" xfId="0" applyFont="1" applyBorder="1" applyAlignment="1">
      <alignment horizontal="left" vertical="top" wrapText="1"/>
    </xf>
    <xf numFmtId="0" fontId="37" fillId="0" borderId="19" xfId="0" applyFont="1" applyBorder="1" applyAlignment="1">
      <alignment horizontal="left" vertical="top"/>
    </xf>
    <xf numFmtId="0" fontId="24" fillId="0" borderId="12" xfId="0" applyFont="1" applyBorder="1"/>
    <xf numFmtId="0" fontId="24" fillId="2" borderId="13" xfId="0" applyFont="1" applyFill="1" applyBorder="1"/>
    <xf numFmtId="0" fontId="24" fillId="2" borderId="14" xfId="0" applyFont="1" applyFill="1" applyBorder="1"/>
    <xf numFmtId="0" fontId="19" fillId="4" borderId="18" xfId="0" applyFont="1" applyFill="1" applyBorder="1" applyAlignment="1">
      <alignment horizontal="left"/>
    </xf>
    <xf numFmtId="14" fontId="0" fillId="0" borderId="0" xfId="0" applyNumberFormat="1"/>
    <xf numFmtId="0" fontId="18" fillId="0" borderId="0" xfId="0" applyFont="1" applyAlignment="1">
      <alignment horizontal="left" vertical="center"/>
    </xf>
    <xf numFmtId="0" fontId="34" fillId="0" borderId="0" xfId="0" applyFont="1"/>
    <xf numFmtId="0" fontId="50" fillId="0" borderId="0" xfId="0" applyFont="1"/>
    <xf numFmtId="0" fontId="26" fillId="0" borderId="1" xfId="0" applyFont="1" applyBorder="1"/>
    <xf numFmtId="165" fontId="26" fillId="0" borderId="0" xfId="0" applyNumberFormat="1" applyFont="1" applyAlignment="1">
      <alignment horizontal="center"/>
    </xf>
    <xf numFmtId="0" fontId="26" fillId="0" borderId="2" xfId="0" applyFont="1" applyBorder="1" applyAlignment="1">
      <alignment horizontal="center"/>
    </xf>
    <xf numFmtId="0" fontId="26" fillId="0" borderId="3" xfId="0" applyFont="1" applyBorder="1"/>
    <xf numFmtId="165" fontId="26" fillId="0" borderId="4" xfId="0" applyNumberFormat="1" applyFont="1" applyBorder="1" applyAlignment="1">
      <alignment horizontal="center"/>
    </xf>
    <xf numFmtId="0" fontId="26" fillId="0" borderId="5" xfId="0" applyFont="1" applyBorder="1" applyAlignment="1">
      <alignment horizontal="center"/>
    </xf>
    <xf numFmtId="166" fontId="26" fillId="0" borderId="0" xfId="0" applyNumberFormat="1" applyFont="1" applyAlignment="1">
      <alignment horizontal="center"/>
    </xf>
    <xf numFmtId="0" fontId="26" fillId="0" borderId="12" xfId="0" applyFont="1" applyBorder="1"/>
    <xf numFmtId="0" fontId="26" fillId="2" borderId="13" xfId="0" applyFont="1" applyFill="1" applyBorder="1"/>
    <xf numFmtId="0" fontId="26" fillId="2" borderId="14" xfId="0" applyFont="1" applyFill="1" applyBorder="1"/>
    <xf numFmtId="166" fontId="26" fillId="0" borderId="4" xfId="0" applyNumberFormat="1" applyFont="1" applyBorder="1" applyAlignment="1">
      <alignment horizontal="center"/>
    </xf>
    <xf numFmtId="0" fontId="52" fillId="0" borderId="0" xfId="0" applyFont="1"/>
    <xf numFmtId="0" fontId="34" fillId="0" borderId="0" xfId="0" applyFont="1" applyAlignment="1">
      <alignment horizontal="center" vertical="center"/>
    </xf>
    <xf numFmtId="0" fontId="54" fillId="0" borderId="0" xfId="0" applyFont="1" applyAlignment="1">
      <alignment horizontal="center"/>
    </xf>
    <xf numFmtId="0" fontId="53" fillId="0" borderId="0" xfId="0" applyFont="1" applyAlignment="1">
      <alignment horizontal="left"/>
    </xf>
    <xf numFmtId="0" fontId="34" fillId="0" borderId="16" xfId="0" applyFont="1" applyBorder="1"/>
    <xf numFmtId="0" fontId="34" fillId="0" borderId="0" xfId="0" applyFont="1" applyAlignment="1">
      <alignment horizontal="left"/>
    </xf>
    <xf numFmtId="0" fontId="55" fillId="0" borderId="0" xfId="0" applyFont="1" applyAlignment="1">
      <alignment horizontal="left"/>
    </xf>
    <xf numFmtId="0" fontId="34" fillId="0" borderId="0" xfId="0" applyFont="1" applyAlignment="1" applyProtection="1">
      <alignment horizontal="center"/>
      <protection locked="0"/>
    </xf>
    <xf numFmtId="0" fontId="0" fillId="0" borderId="20" xfId="0" applyBorder="1"/>
    <xf numFmtId="0" fontId="34" fillId="0" borderId="20" xfId="0" applyFont="1" applyBorder="1"/>
    <xf numFmtId="0" fontId="34" fillId="0" borderId="20" xfId="0" applyFont="1" applyBorder="1" applyAlignment="1">
      <alignment horizontal="left"/>
    </xf>
    <xf numFmtId="0" fontId="0" fillId="0" borderId="22" xfId="0" applyBorder="1"/>
    <xf numFmtId="0" fontId="25" fillId="0" borderId="16" xfId="0" applyFont="1" applyBorder="1" applyAlignment="1" applyProtection="1">
      <alignment horizontal="center"/>
      <protection locked="0"/>
    </xf>
    <xf numFmtId="0" fontId="0" fillId="0" borderId="24" xfId="0" applyBorder="1"/>
    <xf numFmtId="0" fontId="34" fillId="0" borderId="25" xfId="0" applyFont="1" applyBorder="1" applyAlignment="1">
      <alignment horizontal="left"/>
    </xf>
    <xf numFmtId="0" fontId="0" fillId="0" borderId="28" xfId="0" applyBorder="1"/>
    <xf numFmtId="0" fontId="34" fillId="0" borderId="30" xfId="0" applyFont="1" applyBorder="1" applyAlignment="1">
      <alignment horizontal="left"/>
    </xf>
    <xf numFmtId="0" fontId="34" fillId="0" borderId="30" xfId="0" applyFont="1" applyBorder="1"/>
    <xf numFmtId="0" fontId="34" fillId="0" borderId="30" xfId="0" applyFont="1" applyBorder="1" applyAlignment="1">
      <alignment horizontal="center"/>
    </xf>
    <xf numFmtId="0" fontId="0" fillId="0" borderId="30" xfId="0" applyBorder="1"/>
    <xf numFmtId="0" fontId="0" fillId="0" borderId="31" xfId="0" applyBorder="1"/>
    <xf numFmtId="0" fontId="0" fillId="0" borderId="21" xfId="0" applyBorder="1"/>
    <xf numFmtId="0" fontId="0" fillId="0" borderId="23" xfId="0" applyBorder="1"/>
    <xf numFmtId="0" fontId="0" fillId="0" borderId="29" xfId="0" applyBorder="1"/>
    <xf numFmtId="0" fontId="7" fillId="0" borderId="0" xfId="0" applyFont="1"/>
    <xf numFmtId="0" fontId="59" fillId="0" borderId="0" xfId="0" applyFont="1"/>
    <xf numFmtId="0" fontId="59" fillId="0" borderId="1" xfId="0" applyFont="1" applyBorder="1"/>
    <xf numFmtId="166" fontId="59" fillId="0" borderId="0" xfId="0" applyNumberFormat="1" applyFont="1" applyAlignment="1">
      <alignment horizontal="center"/>
    </xf>
    <xf numFmtId="0" fontId="59" fillId="0" borderId="2" xfId="0" applyFont="1" applyBorder="1" applyAlignment="1">
      <alignment horizontal="center"/>
    </xf>
    <xf numFmtId="0" fontId="0" fillId="0" borderId="9" xfId="0" applyBorder="1"/>
    <xf numFmtId="0" fontId="34" fillId="0" borderId="35" xfId="0" applyFont="1" applyBorder="1" applyAlignment="1">
      <alignment horizontal="center"/>
    </xf>
    <xf numFmtId="0" fontId="34" fillId="0" borderId="36" xfId="0" applyFont="1" applyBorder="1" applyAlignment="1">
      <alignment horizontal="center"/>
    </xf>
    <xf numFmtId="0" fontId="34" fillId="0" borderId="37" xfId="0" applyFont="1" applyBorder="1" applyAlignment="1">
      <alignment horizontal="center"/>
    </xf>
    <xf numFmtId="0" fontId="19" fillId="0" borderId="30" xfId="0" applyFont="1" applyBorder="1"/>
    <xf numFmtId="0" fontId="0" fillId="0" borderId="37" xfId="0" applyBorder="1"/>
    <xf numFmtId="0" fontId="61" fillId="0" borderId="0" xfId="0" applyFont="1"/>
    <xf numFmtId="0" fontId="5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58" fillId="0" borderId="0" xfId="0" applyFont="1" applyAlignment="1">
      <alignment horizontal="left"/>
    </xf>
    <xf numFmtId="0" fontId="19" fillId="0" borderId="27" xfId="0" applyFont="1" applyBorder="1" applyAlignment="1">
      <alignment horizontal="left"/>
    </xf>
    <xf numFmtId="0" fontId="34" fillId="0" borderId="32" xfId="0" applyFont="1" applyBorder="1" applyAlignment="1">
      <alignment horizontal="left"/>
    </xf>
    <xf numFmtId="0" fontId="34" fillId="0" borderId="26" xfId="0" applyFont="1" applyBorder="1" applyAlignment="1">
      <alignment horizontal="left"/>
    </xf>
    <xf numFmtId="0" fontId="53" fillId="0" borderId="32" xfId="0" applyFont="1" applyBorder="1" applyAlignment="1">
      <alignment horizontal="left"/>
    </xf>
    <xf numFmtId="0" fontId="0" fillId="0" borderId="15" xfId="0" applyBorder="1"/>
    <xf numFmtId="0" fontId="53" fillId="0" borderId="15" xfId="0" applyFont="1" applyBorder="1" applyAlignment="1">
      <alignment horizontal="center"/>
    </xf>
    <xf numFmtId="0" fontId="28" fillId="0" borderId="0" xfId="0" applyFont="1" applyAlignment="1">
      <alignment horizontal="left"/>
    </xf>
    <xf numFmtId="0" fontId="34" fillId="0" borderId="0" xfId="0" applyFont="1" applyAlignment="1">
      <alignment horizontal="center"/>
    </xf>
    <xf numFmtId="0" fontId="34" fillId="0" borderId="0" xfId="0" applyFont="1" applyAlignment="1">
      <alignment horizontal="right"/>
    </xf>
    <xf numFmtId="0" fontId="53" fillId="0" borderId="0" xfId="0" applyFont="1" applyAlignment="1">
      <alignment horizontal="center"/>
    </xf>
    <xf numFmtId="0" fontId="53" fillId="0" borderId="20" xfId="0" applyFont="1" applyBorder="1" applyAlignment="1">
      <alignment horizontal="center"/>
    </xf>
    <xf numFmtId="0" fontId="19" fillId="0" borderId="0" xfId="0" applyFont="1" applyAlignment="1" applyProtection="1">
      <alignment horizontal="left"/>
      <protection locked="0"/>
    </xf>
    <xf numFmtId="0" fontId="53" fillId="0" borderId="0" xfId="0" applyFont="1" applyAlignment="1" applyProtection="1">
      <alignment horizontal="center"/>
      <protection locked="0"/>
    </xf>
    <xf numFmtId="0" fontId="63" fillId="0" borderId="0" xfId="3" applyFont="1" applyBorder="1" applyAlignment="1" applyProtection="1"/>
    <xf numFmtId="0" fontId="34" fillId="0" borderId="25" xfId="0" applyFont="1" applyBorder="1"/>
    <xf numFmtId="0" fontId="34" fillId="0" borderId="37" xfId="0" applyFont="1" applyBorder="1"/>
    <xf numFmtId="0" fontId="34" fillId="0" borderId="36" xfId="0" applyFont="1" applyBorder="1"/>
    <xf numFmtId="0" fontId="19" fillId="0" borderId="30" xfId="0" applyFont="1" applyBorder="1" applyAlignment="1">
      <alignment horizontal="left"/>
    </xf>
    <xf numFmtId="0" fontId="0" fillId="0" borderId="34" xfId="0" applyBorder="1"/>
    <xf numFmtId="0" fontId="0" fillId="0" borderId="39" xfId="0" applyBorder="1"/>
    <xf numFmtId="0" fontId="0" fillId="0" borderId="8" xfId="0" applyBorder="1"/>
    <xf numFmtId="0" fontId="0" fillId="0" borderId="26" xfId="0" applyBorder="1"/>
    <xf numFmtId="0" fontId="0" fillId="0" borderId="36" xfId="0" applyBorder="1"/>
    <xf numFmtId="0" fontId="0" fillId="0" borderId="17" xfId="0" applyBorder="1"/>
    <xf numFmtId="0" fontId="19" fillId="0" borderId="17" xfId="0" applyFont="1" applyBorder="1" applyAlignment="1">
      <alignment horizontal="center"/>
    </xf>
    <xf numFmtId="0" fontId="20" fillId="0" borderId="17" xfId="0" applyFont="1" applyBorder="1"/>
    <xf numFmtId="0" fontId="19" fillId="0" borderId="7" xfId="0" applyFont="1" applyBorder="1" applyAlignment="1">
      <alignment horizontal="center"/>
    </xf>
    <xf numFmtId="0" fontId="34" fillId="0" borderId="28" xfId="0" applyFont="1" applyBorder="1"/>
    <xf numFmtId="0" fontId="34" fillId="0" borderId="24" xfId="0" applyFont="1" applyBorder="1"/>
    <xf numFmtId="0" fontId="19" fillId="0" borderId="16" xfId="0" applyFont="1" applyBorder="1" applyAlignment="1" applyProtection="1">
      <alignment horizontal="center"/>
      <protection locked="0"/>
    </xf>
    <xf numFmtId="0" fontId="22" fillId="0" borderId="0" xfId="0" applyFont="1" applyAlignment="1" applyProtection="1">
      <alignment horizontal="center"/>
      <protection locked="0"/>
    </xf>
    <xf numFmtId="0" fontId="33" fillId="0" borderId="0" xfId="0" applyFont="1" applyAlignment="1" applyProtection="1">
      <alignment horizontal="center"/>
      <protection locked="0"/>
    </xf>
    <xf numFmtId="0" fontId="32" fillId="0" borderId="27" xfId="0" applyFont="1" applyBorder="1" applyAlignment="1">
      <alignment horizontal="left"/>
    </xf>
    <xf numFmtId="0" fontId="53" fillId="0" borderId="6" xfId="0" applyFont="1" applyBorder="1" applyAlignment="1">
      <alignment horizontal="left"/>
    </xf>
    <xf numFmtId="0" fontId="28" fillId="0" borderId="0" xfId="0" applyFont="1" applyAlignment="1">
      <alignment horizontal="left" vertical="center"/>
    </xf>
    <xf numFmtId="0" fontId="28" fillId="0" borderId="0" xfId="0" applyFont="1"/>
    <xf numFmtId="0" fontId="21" fillId="0" borderId="0" xfId="0" applyFont="1" applyAlignment="1">
      <alignment horizontal="left" vertical="center"/>
    </xf>
    <xf numFmtId="0" fontId="0" fillId="5" borderId="0" xfId="0" applyFill="1" applyProtection="1">
      <protection locked="0"/>
    </xf>
    <xf numFmtId="0" fontId="34" fillId="5" borderId="0" xfId="0" applyFont="1" applyFill="1" applyProtection="1">
      <protection locked="0"/>
    </xf>
    <xf numFmtId="0" fontId="34" fillId="5" borderId="0" xfId="0" applyFont="1" applyFill="1" applyAlignment="1" applyProtection="1">
      <alignment horizontal="center"/>
      <protection locked="0"/>
    </xf>
    <xf numFmtId="0" fontId="0" fillId="5" borderId="0" xfId="0" applyFill="1" applyAlignment="1" applyProtection="1">
      <alignment horizontal="center"/>
      <protection locked="0"/>
    </xf>
    <xf numFmtId="0" fontId="34" fillId="5" borderId="0" xfId="0" applyFont="1" applyFill="1" applyAlignment="1" applyProtection="1">
      <alignment horizontal="left"/>
      <protection locked="0"/>
    </xf>
    <xf numFmtId="0" fontId="30" fillId="5" borderId="0" xfId="0" applyFont="1" applyFill="1" applyAlignment="1" applyProtection="1">
      <alignment horizontal="left" vertical="center"/>
      <protection locked="0"/>
    </xf>
    <xf numFmtId="0" fontId="67" fillId="0" borderId="0" xfId="0" applyFont="1" applyAlignment="1">
      <alignment horizontal="left"/>
    </xf>
    <xf numFmtId="0" fontId="34" fillId="0" borderId="0" xfId="0" applyFont="1" applyProtection="1">
      <protection locked="0" hidden="1"/>
    </xf>
    <xf numFmtId="0" fontId="26" fillId="0" borderId="0" xfId="0" pivotButton="1" applyFont="1"/>
    <xf numFmtId="0" fontId="0" fillId="0" borderId="46" xfId="0" pivotButton="1" applyBorder="1"/>
    <xf numFmtId="3" fontId="0" fillId="0" borderId="47" xfId="0" applyNumberFormat="1" applyBorder="1" applyAlignment="1">
      <alignment horizontal="center"/>
    </xf>
    <xf numFmtId="0" fontId="0" fillId="0" borderId="47" xfId="0" applyBorder="1" applyAlignment="1">
      <alignment horizontal="center"/>
    </xf>
    <xf numFmtId="0" fontId="74" fillId="0" borderId="8" xfId="0" applyFont="1" applyBorder="1"/>
    <xf numFmtId="0" fontId="69" fillId="0" borderId="0" xfId="0" applyFont="1"/>
    <xf numFmtId="0" fontId="74" fillId="0" borderId="0" xfId="0" applyFont="1"/>
    <xf numFmtId="0" fontId="68" fillId="0" borderId="9" xfId="0" applyFont="1" applyBorder="1" applyAlignment="1">
      <alignment horizontal="center"/>
    </xf>
    <xf numFmtId="0" fontId="68" fillId="0" borderId="0" xfId="0" applyFont="1"/>
    <xf numFmtId="0" fontId="69" fillId="0" borderId="43" xfId="0" applyFont="1" applyBorder="1"/>
    <xf numFmtId="0" fontId="74" fillId="0" borderId="44" xfId="0" applyFont="1" applyBorder="1"/>
    <xf numFmtId="0" fontId="69" fillId="0" borderId="44" xfId="0" applyFont="1" applyBorder="1"/>
    <xf numFmtId="0" fontId="74" fillId="0" borderId="45" xfId="0" applyFont="1" applyBorder="1"/>
    <xf numFmtId="168" fontId="74" fillId="0" borderId="0" xfId="0" applyNumberFormat="1" applyFont="1"/>
    <xf numFmtId="0" fontId="74" fillId="0" borderId="9" xfId="0" applyFont="1" applyBorder="1"/>
    <xf numFmtId="0" fontId="74" fillId="0" borderId="48" xfId="0" applyFont="1" applyBorder="1"/>
    <xf numFmtId="0" fontId="74" fillId="0" borderId="33" xfId="0" applyFont="1" applyBorder="1"/>
    <xf numFmtId="0" fontId="72" fillId="0" borderId="8" xfId="0" applyFont="1" applyBorder="1"/>
    <xf numFmtId="0" fontId="74" fillId="0" borderId="41" xfId="0" applyFont="1" applyBorder="1"/>
    <xf numFmtId="0" fontId="73" fillId="0" borderId="8" xfId="0" applyFont="1" applyBorder="1"/>
    <xf numFmtId="0" fontId="73" fillId="0" borderId="0" xfId="0" applyFont="1"/>
    <xf numFmtId="0" fontId="74" fillId="0" borderId="10" xfId="0" applyFont="1" applyBorder="1"/>
    <xf numFmtId="0" fontId="74" fillId="0" borderId="42" xfId="0" applyFont="1" applyBorder="1"/>
    <xf numFmtId="0" fontId="74" fillId="0" borderId="11" xfId="0" applyFont="1" applyBorder="1"/>
    <xf numFmtId="0" fontId="74" fillId="0" borderId="0" xfId="0" applyFont="1" applyAlignment="1">
      <alignment horizontal="center"/>
    </xf>
    <xf numFmtId="0" fontId="74" fillId="0" borderId="0" xfId="0" applyFont="1" applyAlignment="1">
      <alignment horizontal="left" indent="1"/>
    </xf>
    <xf numFmtId="0" fontId="74" fillId="6" borderId="0" xfId="0" applyFont="1" applyFill="1" applyAlignment="1">
      <alignment horizontal="center"/>
    </xf>
    <xf numFmtId="0" fontId="68" fillId="6" borderId="0" xfId="0" applyFont="1" applyFill="1" applyAlignment="1">
      <alignment horizontal="center"/>
    </xf>
    <xf numFmtId="0" fontId="69" fillId="0" borderId="42" xfId="0" applyFont="1" applyBorder="1"/>
    <xf numFmtId="0" fontId="74" fillId="6" borderId="0" xfId="0" applyFont="1" applyFill="1" applyAlignment="1">
      <alignment horizontal="right"/>
    </xf>
    <xf numFmtId="0" fontId="74" fillId="6" borderId="0" xfId="0" applyFont="1" applyFill="1"/>
    <xf numFmtId="0" fontId="70" fillId="0" borderId="8" xfId="0" applyFont="1" applyBorder="1"/>
    <xf numFmtId="0" fontId="69" fillId="0" borderId="47" xfId="0" applyFont="1" applyBorder="1" applyAlignment="1">
      <alignment horizontal="center"/>
    </xf>
    <xf numFmtId="0" fontId="69" fillId="6" borderId="0" xfId="0" applyFont="1" applyFill="1"/>
    <xf numFmtId="0" fontId="74" fillId="0" borderId="8" xfId="0" applyFont="1" applyBorder="1" applyAlignment="1">
      <alignment horizontal="left" indent="1"/>
    </xf>
    <xf numFmtId="0" fontId="68" fillId="6" borderId="0" xfId="0" applyFont="1" applyFill="1" applyAlignment="1">
      <alignment horizontal="right"/>
    </xf>
    <xf numFmtId="0" fontId="69" fillId="0" borderId="8" xfId="0" applyFont="1" applyBorder="1"/>
    <xf numFmtId="1" fontId="75" fillId="0" borderId="8" xfId="0" applyNumberFormat="1" applyFont="1" applyBorder="1" applyAlignment="1">
      <alignment vertical="center"/>
    </xf>
    <xf numFmtId="1" fontId="75" fillId="0" borderId="8" xfId="0" applyNumberFormat="1" applyFont="1" applyBorder="1"/>
    <xf numFmtId="0" fontId="77" fillId="0" borderId="0" xfId="0" applyFont="1"/>
    <xf numFmtId="0" fontId="78" fillId="0" borderId="0" xfId="0" applyFont="1"/>
    <xf numFmtId="0" fontId="79" fillId="0" borderId="0" xfId="3" applyFont="1" applyBorder="1" applyAlignment="1" applyProtection="1"/>
    <xf numFmtId="0" fontId="0" fillId="0" borderId="0" xfId="0" applyAlignment="1">
      <alignment horizontal="right"/>
    </xf>
    <xf numFmtId="0" fontId="80" fillId="0" borderId="0" xfId="0" applyFont="1" applyAlignment="1">
      <alignment horizontal="left"/>
    </xf>
    <xf numFmtId="0" fontId="81" fillId="0" borderId="0" xfId="0" applyFont="1" applyAlignment="1">
      <alignment horizontal="center"/>
    </xf>
    <xf numFmtId="170" fontId="0" fillId="0" borderId="0" xfId="0" applyNumberFormat="1"/>
    <xf numFmtId="0" fontId="7" fillId="0" borderId="0" xfId="0" applyFont="1" applyAlignment="1">
      <alignment horizontal="center"/>
    </xf>
    <xf numFmtId="0" fontId="26" fillId="0" borderId="0" xfId="0" pivotButton="1" applyFont="1" applyAlignment="1">
      <alignment horizontal="left"/>
    </xf>
    <xf numFmtId="0" fontId="0" fillId="0" borderId="0" xfId="0" pivotButton="1"/>
    <xf numFmtId="0" fontId="64" fillId="0" borderId="0" xfId="0" applyFont="1" applyProtection="1">
      <protection locked="0" hidden="1"/>
    </xf>
    <xf numFmtId="0" fontId="0" fillId="0" borderId="33" xfId="0" applyBorder="1" applyAlignment="1">
      <alignment horizontal="center"/>
    </xf>
    <xf numFmtId="3" fontId="0" fillId="0" borderId="33" xfId="0" applyNumberFormat="1" applyBorder="1" applyAlignment="1">
      <alignment horizontal="center"/>
    </xf>
    <xf numFmtId="0" fontId="67" fillId="0" borderId="0" xfId="0" applyFont="1" applyAlignment="1" applyProtection="1">
      <alignment horizontal="left"/>
      <protection locked="0" hidden="1"/>
    </xf>
    <xf numFmtId="1" fontId="74" fillId="0" borderId="8" xfId="0" applyNumberFormat="1" applyFont="1" applyBorder="1" applyAlignment="1">
      <alignment vertical="center"/>
    </xf>
    <xf numFmtId="0" fontId="68" fillId="0" borderId="0" xfId="0" applyFont="1" applyAlignment="1">
      <alignment horizontal="center"/>
    </xf>
    <xf numFmtId="0" fontId="74" fillId="0" borderId="8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74" fillId="0" borderId="8" xfId="0" applyFont="1" applyBorder="1" applyAlignment="1">
      <alignment horizontal="left" vertical="center"/>
    </xf>
    <xf numFmtId="1" fontId="0" fillId="0" borderId="8" xfId="0" applyNumberFormat="1" applyBorder="1" applyAlignment="1">
      <alignment vertical="center"/>
    </xf>
    <xf numFmtId="1" fontId="74" fillId="0" borderId="8" xfId="0" applyNumberFormat="1" applyFont="1" applyBorder="1" applyAlignment="1">
      <alignment horizontal="left" indent="1"/>
    </xf>
    <xf numFmtId="0" fontId="25" fillId="0" borderId="47" xfId="0" applyFont="1" applyBorder="1" applyAlignment="1">
      <alignment horizontal="center"/>
    </xf>
    <xf numFmtId="3" fontId="0" fillId="0" borderId="0" xfId="0" applyNumberFormat="1"/>
    <xf numFmtId="0" fontId="25" fillId="0" borderId="47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25" fillId="0" borderId="33" xfId="0" applyFont="1" applyBorder="1" applyAlignment="1">
      <alignment horizontal="center"/>
    </xf>
    <xf numFmtId="0" fontId="0" fillId="0" borderId="46" xfId="0" applyBorder="1"/>
    <xf numFmtId="1" fontId="0" fillId="0" borderId="0" xfId="0" applyNumberFormat="1"/>
    <xf numFmtId="0" fontId="32" fillId="0" borderId="0" xfId="0" applyFont="1"/>
    <xf numFmtId="0" fontId="34" fillId="0" borderId="16" xfId="0" applyFont="1" applyBorder="1" applyAlignment="1" applyProtection="1">
      <alignment horizontal="left"/>
      <protection locked="0"/>
    </xf>
    <xf numFmtId="0" fontId="0" fillId="0" borderId="16" xfId="0" applyBorder="1" applyProtection="1"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34" xfId="0" applyBorder="1" applyProtection="1">
      <protection locked="0"/>
    </xf>
    <xf numFmtId="0" fontId="20" fillId="0" borderId="0" xfId="0" applyFont="1" applyAlignment="1">
      <alignment horizontal="right"/>
    </xf>
    <xf numFmtId="0" fontId="34" fillId="0" borderId="0" xfId="0" applyFont="1" applyAlignment="1" applyProtection="1">
      <alignment horizontal="left"/>
      <protection locked="0"/>
    </xf>
    <xf numFmtId="0" fontId="0" fillId="0" borderId="0" xfId="0" applyProtection="1">
      <protection locked="0"/>
    </xf>
    <xf numFmtId="0" fontId="34" fillId="0" borderId="8" xfId="0" applyFont="1" applyBorder="1" applyAlignment="1">
      <alignment horizontal="left"/>
    </xf>
    <xf numFmtId="3" fontId="26" fillId="0" borderId="0" xfId="0" applyNumberFormat="1" applyFont="1"/>
    <xf numFmtId="0" fontId="34" fillId="0" borderId="8" xfId="0" applyFont="1" applyBorder="1"/>
    <xf numFmtId="0" fontId="34" fillId="0" borderId="26" xfId="0" applyFont="1" applyBorder="1"/>
    <xf numFmtId="0" fontId="0" fillId="0" borderId="0" xfId="0" applyAlignment="1" applyProtection="1">
      <alignment horizontal="left"/>
      <protection locked="0"/>
    </xf>
    <xf numFmtId="0" fontId="0" fillId="0" borderId="9" xfId="0" applyBorder="1" applyProtection="1">
      <protection locked="0"/>
    </xf>
    <xf numFmtId="0" fontId="18" fillId="0" borderId="0" xfId="0" applyFont="1"/>
    <xf numFmtId="0" fontId="34" fillId="0" borderId="16" xfId="0" applyFont="1" applyBorder="1" applyAlignment="1">
      <alignment horizontal="left"/>
    </xf>
    <xf numFmtId="0" fontId="33" fillId="0" borderId="49" xfId="0" applyFont="1" applyBorder="1" applyAlignment="1">
      <alignment horizontal="center"/>
    </xf>
    <xf numFmtId="0" fontId="34" fillId="0" borderId="50" xfId="0" applyFont="1" applyBorder="1" applyAlignment="1" applyProtection="1">
      <alignment horizontal="center"/>
      <protection locked="0"/>
    </xf>
    <xf numFmtId="0" fontId="5" fillId="0" borderId="50" xfId="0" applyFont="1" applyBorder="1" applyAlignment="1" applyProtection="1">
      <alignment horizontal="left"/>
      <protection locked="0" hidden="1"/>
    </xf>
    <xf numFmtId="0" fontId="34" fillId="0" borderId="50" xfId="0" applyFont="1" applyBorder="1"/>
    <xf numFmtId="0" fontId="0" fillId="0" borderId="50" xfId="0" applyBorder="1"/>
    <xf numFmtId="1" fontId="34" fillId="0" borderId="50" xfId="0" applyNumberFormat="1" applyFont="1" applyBorder="1" applyAlignment="1" applyProtection="1">
      <alignment horizontal="right"/>
      <protection locked="0" hidden="1"/>
    </xf>
    <xf numFmtId="0" fontId="33" fillId="0" borderId="50" xfId="0" applyFont="1" applyBorder="1" applyAlignment="1">
      <alignment horizontal="center"/>
    </xf>
    <xf numFmtId="0" fontId="0" fillId="0" borderId="51" xfId="0" applyBorder="1"/>
    <xf numFmtId="0" fontId="33" fillId="0" borderId="52" xfId="0" applyFont="1" applyBorder="1" applyAlignment="1">
      <alignment horizontal="center"/>
    </xf>
    <xf numFmtId="0" fontId="34" fillId="0" borderId="53" xfId="0" applyFont="1" applyBorder="1" applyAlignment="1" applyProtection="1">
      <alignment horizontal="center"/>
      <protection locked="0"/>
    </xf>
    <xf numFmtId="0" fontId="5" fillId="0" borderId="53" xfId="0" applyFont="1" applyBorder="1" applyAlignment="1" applyProtection="1">
      <alignment horizontal="left"/>
      <protection locked="0" hidden="1"/>
    </xf>
    <xf numFmtId="0" fontId="34" fillId="0" borderId="53" xfId="0" applyFont="1" applyBorder="1"/>
    <xf numFmtId="0" fontId="0" fillId="0" borderId="53" xfId="0" applyBorder="1"/>
    <xf numFmtId="1" fontId="34" fillId="0" borderId="53" xfId="0" applyNumberFormat="1" applyFont="1" applyBorder="1" applyAlignment="1" applyProtection="1">
      <alignment horizontal="right"/>
      <protection locked="0" hidden="1"/>
    </xf>
    <xf numFmtId="0" fontId="33" fillId="0" borderId="53" xfId="0" applyFont="1" applyBorder="1" applyAlignment="1">
      <alignment horizontal="center"/>
    </xf>
    <xf numFmtId="0" fontId="0" fillId="0" borderId="54" xfId="0" applyBorder="1"/>
    <xf numFmtId="0" fontId="34" fillId="0" borderId="56" xfId="0" applyFont="1" applyBorder="1" applyAlignment="1" applyProtection="1">
      <alignment horizontal="center"/>
      <protection locked="0"/>
    </xf>
    <xf numFmtId="0" fontId="5" fillId="0" borderId="56" xfId="0" applyFont="1" applyBorder="1" applyAlignment="1" applyProtection="1">
      <alignment horizontal="left"/>
      <protection locked="0" hidden="1"/>
    </xf>
    <xf numFmtId="0" fontId="34" fillId="0" borderId="56" xfId="0" applyFont="1" applyBorder="1"/>
    <xf numFmtId="0" fontId="0" fillId="0" borderId="56" xfId="0" applyBorder="1"/>
    <xf numFmtId="1" fontId="34" fillId="0" borderId="56" xfId="0" applyNumberFormat="1" applyFont="1" applyBorder="1" applyAlignment="1" applyProtection="1">
      <alignment horizontal="right"/>
      <protection locked="0" hidden="1"/>
    </xf>
    <xf numFmtId="0" fontId="33" fillId="0" borderId="56" xfId="0" applyFont="1" applyBorder="1" applyAlignment="1">
      <alignment horizontal="center"/>
    </xf>
    <xf numFmtId="0" fontId="0" fillId="0" borderId="57" xfId="0" applyBorder="1"/>
    <xf numFmtId="3" fontId="6" fillId="0" borderId="60" xfId="0" applyNumberFormat="1" applyFont="1" applyBorder="1" applyAlignment="1" applyProtection="1">
      <alignment horizontal="center"/>
      <protection locked="0"/>
    </xf>
    <xf numFmtId="0" fontId="4" fillId="0" borderId="59" xfId="0" applyFont="1" applyBorder="1" applyAlignment="1">
      <alignment horizontal="center"/>
    </xf>
    <xf numFmtId="0" fontId="34" fillId="0" borderId="50" xfId="0" applyFont="1" applyBorder="1" applyAlignment="1">
      <alignment horizontal="center"/>
    </xf>
    <xf numFmtId="0" fontId="34" fillId="0" borderId="60" xfId="0" applyFont="1" applyBorder="1"/>
    <xf numFmtId="3" fontId="6" fillId="0" borderId="63" xfId="0" applyNumberFormat="1" applyFont="1" applyBorder="1" applyAlignment="1" applyProtection="1">
      <alignment horizontal="center"/>
      <protection locked="0"/>
    </xf>
    <xf numFmtId="0" fontId="4" fillId="0" borderId="62" xfId="0" applyFont="1" applyBorder="1" applyAlignment="1">
      <alignment horizontal="center"/>
    </xf>
    <xf numFmtId="0" fontId="34" fillId="0" borderId="53" xfId="0" applyFont="1" applyBorder="1" applyAlignment="1">
      <alignment horizontal="center"/>
    </xf>
    <xf numFmtId="0" fontId="34" fillId="0" borderId="63" xfId="0" applyFont="1" applyBorder="1"/>
    <xf numFmtId="0" fontId="0" fillId="0" borderId="63" xfId="0" applyBorder="1"/>
    <xf numFmtId="3" fontId="6" fillId="0" borderId="67" xfId="0" applyNumberFormat="1" applyFont="1" applyBorder="1" applyAlignment="1" applyProtection="1">
      <alignment horizontal="center"/>
      <protection locked="0"/>
    </xf>
    <xf numFmtId="0" fontId="4" fillId="0" borderId="66" xfId="0" applyFont="1" applyBorder="1" applyAlignment="1">
      <alignment horizontal="center"/>
    </xf>
    <xf numFmtId="0" fontId="34" fillId="0" borderId="56" xfId="0" applyFont="1" applyBorder="1" applyAlignment="1">
      <alignment horizontal="center"/>
    </xf>
    <xf numFmtId="0" fontId="34" fillId="0" borderId="67" xfId="0" applyFont="1" applyBorder="1"/>
    <xf numFmtId="3" fontId="34" fillId="0" borderId="58" xfId="0" applyNumberFormat="1" applyFont="1" applyBorder="1" applyAlignment="1" applyProtection="1">
      <alignment horizontal="center"/>
      <protection locked="0"/>
    </xf>
    <xf numFmtId="3" fontId="34" fillId="0" borderId="59" xfId="0" applyNumberFormat="1" applyFont="1" applyBorder="1" applyAlignment="1" applyProtection="1">
      <alignment horizontal="center"/>
      <protection locked="0"/>
    </xf>
    <xf numFmtId="0" fontId="34" fillId="0" borderId="59" xfId="0" applyFont="1" applyBorder="1" applyAlignment="1">
      <alignment horizontal="center"/>
    </xf>
    <xf numFmtId="3" fontId="34" fillId="0" borderId="61" xfId="0" applyNumberFormat="1" applyFont="1" applyBorder="1" applyAlignment="1" applyProtection="1">
      <alignment horizontal="center"/>
      <protection locked="0"/>
    </xf>
    <xf numFmtId="3" fontId="34" fillId="0" borderId="62" xfId="0" applyNumberFormat="1" applyFont="1" applyBorder="1" applyAlignment="1" applyProtection="1">
      <alignment horizontal="center"/>
      <protection locked="0"/>
    </xf>
    <xf numFmtId="0" fontId="34" fillId="0" borderId="62" xfId="0" applyFont="1" applyBorder="1" applyAlignment="1">
      <alignment horizontal="center"/>
    </xf>
    <xf numFmtId="0" fontId="65" fillId="0" borderId="62" xfId="0" applyFont="1" applyBorder="1" applyAlignment="1">
      <alignment horizontal="center"/>
    </xf>
    <xf numFmtId="3" fontId="34" fillId="0" borderId="65" xfId="0" applyNumberFormat="1" applyFont="1" applyBorder="1" applyAlignment="1" applyProtection="1">
      <alignment horizontal="center"/>
      <protection locked="0"/>
    </xf>
    <xf numFmtId="3" fontId="34" fillId="0" borderId="66" xfId="0" applyNumberFormat="1" applyFont="1" applyBorder="1" applyAlignment="1" applyProtection="1">
      <alignment horizontal="center"/>
      <protection locked="0"/>
    </xf>
    <xf numFmtId="0" fontId="34" fillId="0" borderId="66" xfId="0" applyFont="1" applyBorder="1" applyAlignment="1">
      <alignment horizontal="center"/>
    </xf>
    <xf numFmtId="3" fontId="34" fillId="0" borderId="60" xfId="0" applyNumberFormat="1" applyFont="1" applyBorder="1" applyAlignment="1" applyProtection="1">
      <alignment horizontal="center"/>
      <protection locked="0"/>
    </xf>
    <xf numFmtId="0" fontId="0" fillId="0" borderId="68" xfId="0" applyBorder="1"/>
    <xf numFmtId="3" fontId="34" fillId="0" borderId="63" xfId="0" applyNumberFormat="1" applyFont="1" applyBorder="1" applyAlignment="1" applyProtection="1">
      <alignment horizontal="center"/>
      <protection locked="0"/>
    </xf>
    <xf numFmtId="3" fontId="0" fillId="0" borderId="63" xfId="0" applyNumberFormat="1" applyBorder="1" applyAlignment="1" applyProtection="1">
      <alignment horizontal="center"/>
      <protection locked="0"/>
    </xf>
    <xf numFmtId="0" fontId="0" fillId="0" borderId="64" xfId="0" applyBorder="1"/>
    <xf numFmtId="3" fontId="34" fillId="0" borderId="67" xfId="0" applyNumberFormat="1" applyFont="1" applyBorder="1" applyAlignment="1" applyProtection="1">
      <alignment horizontal="center"/>
      <protection locked="0"/>
    </xf>
    <xf numFmtId="0" fontId="65" fillId="0" borderId="56" xfId="0" applyFont="1" applyBorder="1" applyAlignment="1">
      <alignment horizontal="center"/>
    </xf>
    <xf numFmtId="0" fontId="0" fillId="0" borderId="69" xfId="0" applyBorder="1"/>
    <xf numFmtId="0" fontId="25" fillId="0" borderId="49" xfId="0" applyFont="1" applyBorder="1" applyAlignment="1">
      <alignment horizontal="center"/>
    </xf>
    <xf numFmtId="0" fontId="34" fillId="0" borderId="60" xfId="0" applyFont="1" applyBorder="1" applyAlignment="1" applyProtection="1">
      <alignment horizontal="center"/>
      <protection locked="0"/>
    </xf>
    <xf numFmtId="0" fontId="34" fillId="0" borderId="50" xfId="0" applyFont="1" applyBorder="1" applyAlignment="1" applyProtection="1">
      <alignment horizontal="left"/>
      <protection locked="0" hidden="1"/>
    </xf>
    <xf numFmtId="1" fontId="34" fillId="0" borderId="59" xfId="0" applyNumberFormat="1" applyFont="1" applyBorder="1" applyAlignment="1" applyProtection="1">
      <alignment horizontal="center"/>
      <protection locked="0" hidden="1"/>
    </xf>
    <xf numFmtId="0" fontId="19" fillId="0" borderId="68" xfId="0" applyFont="1" applyBorder="1" applyAlignment="1">
      <alignment horizontal="center"/>
    </xf>
    <xf numFmtId="0" fontId="25" fillId="0" borderId="50" xfId="0" applyFont="1" applyBorder="1" applyAlignment="1">
      <alignment horizontal="center"/>
    </xf>
    <xf numFmtId="0" fontId="34" fillId="0" borderId="59" xfId="0" applyFont="1" applyBorder="1" applyAlignment="1" applyProtection="1">
      <alignment horizontal="center"/>
      <protection locked="0"/>
    </xf>
    <xf numFmtId="0" fontId="34" fillId="0" borderId="50" xfId="0" applyFont="1" applyBorder="1" applyProtection="1">
      <protection locked="0" hidden="1"/>
    </xf>
    <xf numFmtId="0" fontId="25" fillId="0" borderId="52" xfId="0" applyFont="1" applyBorder="1" applyAlignment="1">
      <alignment horizontal="center"/>
    </xf>
    <xf numFmtId="0" fontId="34" fillId="0" borderId="63" xfId="0" applyFont="1" applyBorder="1" applyAlignment="1" applyProtection="1">
      <alignment horizontal="center"/>
      <protection locked="0"/>
    </xf>
    <xf numFmtId="0" fontId="34" fillId="0" borderId="53" xfId="0" applyFont="1" applyBorder="1" applyAlignment="1" applyProtection="1">
      <alignment horizontal="left"/>
      <protection locked="0" hidden="1"/>
    </xf>
    <xf numFmtId="1" fontId="34" fillId="0" borderId="62" xfId="0" applyNumberFormat="1" applyFont="1" applyBorder="1" applyAlignment="1" applyProtection="1">
      <alignment horizontal="center"/>
      <protection locked="0" hidden="1"/>
    </xf>
    <xf numFmtId="0" fontId="19" fillId="0" borderId="64" xfId="0" applyFont="1" applyBorder="1" applyAlignment="1">
      <alignment horizontal="center"/>
    </xf>
    <xf numFmtId="0" fontId="25" fillId="0" borderId="53" xfId="0" applyFont="1" applyBorder="1" applyAlignment="1">
      <alignment horizontal="center"/>
    </xf>
    <xf numFmtId="0" fontId="34" fillId="0" borderId="62" xfId="0" applyFont="1" applyBorder="1" applyAlignment="1" applyProtection="1">
      <alignment horizontal="center"/>
      <protection locked="0"/>
    </xf>
    <xf numFmtId="0" fontId="34" fillId="0" borderId="53" xfId="0" applyFont="1" applyBorder="1" applyProtection="1">
      <protection locked="0" hidden="1"/>
    </xf>
    <xf numFmtId="0" fontId="25" fillId="0" borderId="55" xfId="0" applyFont="1" applyBorder="1" applyAlignment="1">
      <alignment horizontal="center"/>
    </xf>
    <xf numFmtId="0" fontId="34" fillId="0" borderId="67" xfId="0" applyFont="1" applyBorder="1" applyAlignment="1" applyProtection="1">
      <alignment horizontal="center"/>
      <protection locked="0"/>
    </xf>
    <xf numFmtId="0" fontId="34" fillId="0" borderId="56" xfId="0" applyFont="1" applyBorder="1" applyAlignment="1" applyProtection="1">
      <alignment horizontal="left"/>
      <protection locked="0" hidden="1"/>
    </xf>
    <xf numFmtId="1" fontId="34" fillId="0" borderId="66" xfId="0" applyNumberFormat="1" applyFont="1" applyBorder="1" applyAlignment="1" applyProtection="1">
      <alignment horizontal="center"/>
      <protection locked="0" hidden="1"/>
    </xf>
    <xf numFmtId="0" fontId="19" fillId="0" borderId="69" xfId="0" applyFont="1" applyBorder="1" applyAlignment="1">
      <alignment horizontal="center"/>
    </xf>
    <xf numFmtId="0" fontId="25" fillId="0" borderId="56" xfId="0" applyFont="1" applyBorder="1" applyAlignment="1">
      <alignment horizontal="center"/>
    </xf>
    <xf numFmtId="0" fontId="34" fillId="0" borderId="66" xfId="0" applyFont="1" applyBorder="1" applyAlignment="1" applyProtection="1">
      <alignment horizontal="center"/>
      <protection locked="0"/>
    </xf>
    <xf numFmtId="0" fontId="34" fillId="0" borderId="56" xfId="0" applyFont="1" applyBorder="1" applyProtection="1">
      <protection locked="0" hidden="1"/>
    </xf>
    <xf numFmtId="0" fontId="0" fillId="0" borderId="0" xfId="0" applyAlignment="1">
      <alignment wrapText="1"/>
    </xf>
    <xf numFmtId="167" fontId="0" fillId="0" borderId="0" xfId="0" applyNumberFormat="1"/>
    <xf numFmtId="0" fontId="36" fillId="0" borderId="19" xfId="0" applyFont="1" applyBorder="1" applyAlignment="1">
      <alignment horizontal="left" vertical="top"/>
    </xf>
    <xf numFmtId="0" fontId="25" fillId="0" borderId="70" xfId="0" applyFont="1" applyBorder="1" applyAlignment="1">
      <alignment horizontal="center"/>
    </xf>
    <xf numFmtId="0" fontId="34" fillId="0" borderId="71" xfId="0" applyFont="1" applyBorder="1" applyAlignment="1" applyProtection="1">
      <alignment horizontal="left"/>
      <protection locked="0" hidden="1"/>
    </xf>
    <xf numFmtId="0" fontId="34" fillId="0" borderId="71" xfId="0" applyFont="1" applyBorder="1"/>
    <xf numFmtId="0" fontId="0" fillId="0" borderId="71" xfId="0" applyBorder="1"/>
    <xf numFmtId="0" fontId="25" fillId="0" borderId="71" xfId="0" applyFont="1" applyBorder="1" applyAlignment="1">
      <alignment horizontal="center"/>
    </xf>
    <xf numFmtId="0" fontId="34" fillId="0" borderId="71" xfId="0" applyFont="1" applyBorder="1" applyProtection="1">
      <protection locked="0" hidden="1"/>
    </xf>
    <xf numFmtId="0" fontId="0" fillId="0" borderId="72" xfId="0" applyBorder="1"/>
    <xf numFmtId="0" fontId="25" fillId="0" borderId="73" xfId="0" applyFont="1" applyBorder="1" applyAlignment="1">
      <alignment horizontal="center"/>
    </xf>
    <xf numFmtId="0" fontId="34" fillId="0" borderId="74" xfId="0" applyFont="1" applyBorder="1" applyAlignment="1" applyProtection="1">
      <alignment horizontal="left"/>
      <protection locked="0" hidden="1"/>
    </xf>
    <xf numFmtId="0" fontId="34" fillId="0" borderId="74" xfId="0" applyFont="1" applyBorder="1"/>
    <xf numFmtId="0" fontId="25" fillId="0" borderId="74" xfId="0" applyFont="1" applyBorder="1" applyAlignment="1">
      <alignment horizontal="center"/>
    </xf>
    <xf numFmtId="0" fontId="34" fillId="0" borderId="74" xfId="0" applyFont="1" applyBorder="1" applyProtection="1">
      <protection locked="0" hidden="1"/>
    </xf>
    <xf numFmtId="0" fontId="0" fillId="0" borderId="74" xfId="0" applyBorder="1"/>
    <xf numFmtId="0" fontId="0" fillId="0" borderId="75" xfId="0" applyBorder="1"/>
    <xf numFmtId="0" fontId="25" fillId="0" borderId="76" xfId="0" applyFont="1" applyBorder="1" applyAlignment="1">
      <alignment horizontal="center"/>
    </xf>
    <xf numFmtId="0" fontId="34" fillId="0" borderId="77" xfId="0" applyFont="1" applyBorder="1" applyAlignment="1" applyProtection="1">
      <alignment horizontal="left"/>
      <protection locked="0" hidden="1"/>
    </xf>
    <xf numFmtId="0" fontId="0" fillId="0" borderId="77" xfId="0" applyBorder="1"/>
    <xf numFmtId="0" fontId="25" fillId="0" borderId="77" xfId="0" applyFont="1" applyBorder="1" applyAlignment="1">
      <alignment horizontal="center"/>
    </xf>
    <xf numFmtId="0" fontId="34" fillId="0" borderId="77" xfId="0" applyFont="1" applyBorder="1" applyProtection="1">
      <protection locked="0" hidden="1"/>
    </xf>
    <xf numFmtId="0" fontId="34" fillId="0" borderId="77" xfId="0" applyFont="1" applyBorder="1"/>
    <xf numFmtId="0" fontId="0" fillId="0" borderId="78" xfId="0" applyBorder="1"/>
    <xf numFmtId="0" fontId="34" fillId="0" borderId="79" xfId="0" applyFont="1" applyBorder="1" applyAlignment="1" applyProtection="1">
      <alignment horizontal="center"/>
      <protection locked="0"/>
    </xf>
    <xf numFmtId="1" fontId="34" fillId="0" borderId="80" xfId="0" applyNumberFormat="1" applyFont="1" applyBorder="1" applyAlignment="1" applyProtection="1">
      <alignment horizontal="center"/>
      <protection locked="0" hidden="1"/>
    </xf>
    <xf numFmtId="0" fontId="19" fillId="0" borderId="81" xfId="0" applyFont="1" applyBorder="1" applyAlignment="1">
      <alignment horizontal="center"/>
    </xf>
    <xf numFmtId="0" fontId="34" fillId="0" borderId="80" xfId="0" applyFont="1" applyBorder="1" applyAlignment="1" applyProtection="1">
      <alignment horizontal="center"/>
      <protection locked="0"/>
    </xf>
    <xf numFmtId="0" fontId="34" fillId="0" borderId="82" xfId="0" applyFont="1" applyBorder="1" applyAlignment="1" applyProtection="1">
      <alignment horizontal="center"/>
      <protection locked="0"/>
    </xf>
    <xf numFmtId="1" fontId="34" fillId="0" borderId="83" xfId="0" applyNumberFormat="1" applyFont="1" applyBorder="1" applyAlignment="1" applyProtection="1">
      <alignment horizontal="center"/>
      <protection locked="0" hidden="1"/>
    </xf>
    <xf numFmtId="0" fontId="19" fillId="0" borderId="84" xfId="0" applyFont="1" applyBorder="1" applyAlignment="1">
      <alignment horizontal="center"/>
    </xf>
    <xf numFmtId="0" fontId="34" fillId="0" borderId="83" xfId="0" applyFont="1" applyBorder="1" applyAlignment="1" applyProtection="1">
      <alignment horizontal="center"/>
      <protection locked="0"/>
    </xf>
    <xf numFmtId="0" fontId="34" fillId="0" borderId="85" xfId="0" applyFont="1" applyBorder="1" applyAlignment="1" applyProtection="1">
      <alignment horizontal="center"/>
      <protection locked="0"/>
    </xf>
    <xf numFmtId="1" fontId="34" fillId="0" borderId="86" xfId="0" applyNumberFormat="1" applyFont="1" applyBorder="1" applyAlignment="1" applyProtection="1">
      <alignment horizontal="center"/>
      <protection locked="0" hidden="1"/>
    </xf>
    <xf numFmtId="0" fontId="19" fillId="0" borderId="87" xfId="0" applyFont="1" applyBorder="1" applyAlignment="1">
      <alignment horizontal="center"/>
    </xf>
    <xf numFmtId="0" fontId="34" fillId="0" borderId="86" xfId="0" applyFont="1" applyBorder="1" applyAlignment="1" applyProtection="1">
      <alignment horizontal="center"/>
      <protection locked="0"/>
    </xf>
    <xf numFmtId="3" fontId="34" fillId="0" borderId="88" xfId="0" applyNumberFormat="1" applyFont="1" applyBorder="1" applyAlignment="1" applyProtection="1">
      <alignment horizontal="center"/>
      <protection locked="0"/>
    </xf>
    <xf numFmtId="3" fontId="34" fillId="0" borderId="79" xfId="0" applyNumberFormat="1" applyFont="1" applyBorder="1" applyAlignment="1" applyProtection="1">
      <alignment horizontal="center"/>
      <protection locked="0"/>
    </xf>
    <xf numFmtId="0" fontId="4" fillId="0" borderId="80" xfId="0" applyFont="1" applyBorder="1" applyAlignment="1">
      <alignment horizontal="center"/>
    </xf>
    <xf numFmtId="0" fontId="34" fillId="0" borderId="71" xfId="0" applyFont="1" applyBorder="1" applyAlignment="1">
      <alignment horizontal="center"/>
    </xf>
    <xf numFmtId="0" fontId="0" fillId="0" borderId="81" xfId="0" applyBorder="1"/>
    <xf numFmtId="3" fontId="34" fillId="0" borderId="89" xfId="0" applyNumberFormat="1" applyFont="1" applyBorder="1" applyAlignment="1" applyProtection="1">
      <alignment horizontal="center"/>
      <protection locked="0"/>
    </xf>
    <xf numFmtId="3" fontId="34" fillId="0" borderId="82" xfId="0" applyNumberFormat="1" applyFont="1" applyBorder="1" applyAlignment="1" applyProtection="1">
      <alignment horizontal="center"/>
      <protection locked="0"/>
    </xf>
    <xf numFmtId="3" fontId="0" fillId="0" borderId="82" xfId="0" applyNumberFormat="1" applyBorder="1" applyAlignment="1" applyProtection="1">
      <alignment horizontal="center"/>
      <protection locked="0"/>
    </xf>
    <xf numFmtId="0" fontId="4" fillId="0" borderId="83" xfId="0" applyFont="1" applyBorder="1" applyAlignment="1">
      <alignment horizontal="center"/>
    </xf>
    <xf numFmtId="0" fontId="34" fillId="0" borderId="74" xfId="0" applyFont="1" applyBorder="1" applyAlignment="1">
      <alignment horizontal="center"/>
    </xf>
    <xf numFmtId="0" fontId="0" fillId="0" borderId="84" xfId="0" applyBorder="1"/>
    <xf numFmtId="3" fontId="34" fillId="0" borderId="90" xfId="0" applyNumberFormat="1" applyFont="1" applyBorder="1" applyAlignment="1" applyProtection="1">
      <alignment horizontal="center"/>
      <protection locked="0"/>
    </xf>
    <xf numFmtId="3" fontId="34" fillId="0" borderId="85" xfId="0" applyNumberFormat="1" applyFont="1" applyBorder="1" applyAlignment="1" applyProtection="1">
      <alignment horizontal="center"/>
      <protection locked="0"/>
    </xf>
    <xf numFmtId="0" fontId="4" fillId="0" borderId="86" xfId="0" applyFont="1" applyBorder="1" applyAlignment="1">
      <alignment horizontal="center"/>
    </xf>
    <xf numFmtId="0" fontId="65" fillId="0" borderId="77" xfId="0" applyFont="1" applyBorder="1" applyAlignment="1">
      <alignment horizontal="center"/>
    </xf>
    <xf numFmtId="0" fontId="0" fillId="0" borderId="87" xfId="0" applyBorder="1"/>
    <xf numFmtId="0" fontId="0" fillId="0" borderId="79" xfId="0" applyBorder="1"/>
    <xf numFmtId="0" fontId="34" fillId="0" borderId="80" xfId="0" applyFont="1" applyBorder="1" applyAlignment="1">
      <alignment horizontal="center"/>
    </xf>
    <xf numFmtId="0" fontId="34" fillId="0" borderId="79" xfId="0" applyFont="1" applyBorder="1"/>
    <xf numFmtId="0" fontId="0" fillId="0" borderId="82" xfId="0" applyBorder="1"/>
    <xf numFmtId="0" fontId="34" fillId="0" borderId="83" xfId="0" applyFont="1" applyBorder="1" applyAlignment="1">
      <alignment horizontal="center"/>
    </xf>
    <xf numFmtId="0" fontId="34" fillId="0" borderId="82" xfId="0" applyFont="1" applyBorder="1"/>
    <xf numFmtId="0" fontId="65" fillId="0" borderId="83" xfId="0" applyFont="1" applyBorder="1" applyAlignment="1">
      <alignment horizontal="center"/>
    </xf>
    <xf numFmtId="0" fontId="0" fillId="0" borderId="85" xfId="0" applyBorder="1"/>
    <xf numFmtId="0" fontId="34" fillId="0" borderId="86" xfId="0" applyFont="1" applyBorder="1" applyAlignment="1">
      <alignment horizontal="center"/>
    </xf>
    <xf numFmtId="0" fontId="34" fillId="0" borderId="85" xfId="0" applyFont="1" applyBorder="1"/>
    <xf numFmtId="0" fontId="34" fillId="0" borderId="77" xfId="0" applyFont="1" applyBorder="1" applyAlignment="1">
      <alignment horizontal="center"/>
    </xf>
    <xf numFmtId="0" fontId="25" fillId="0" borderId="91" xfId="0" applyFont="1" applyBorder="1" applyAlignment="1">
      <alignment horizontal="center"/>
    </xf>
    <xf numFmtId="0" fontId="34" fillId="0" borderId="92" xfId="0" applyFont="1" applyBorder="1" applyAlignment="1" applyProtection="1">
      <alignment horizontal="center"/>
      <protection locked="0"/>
    </xf>
    <xf numFmtId="0" fontId="34" fillId="0" borderId="93" xfId="0" applyFont="1" applyBorder="1" applyAlignment="1" applyProtection="1">
      <alignment horizontal="left"/>
      <protection locked="0" hidden="1"/>
    </xf>
    <xf numFmtId="0" fontId="34" fillId="0" borderId="93" xfId="0" applyFont="1" applyBorder="1"/>
    <xf numFmtId="1" fontId="34" fillId="0" borderId="94" xfId="0" applyNumberFormat="1" applyFont="1" applyBorder="1" applyAlignment="1" applyProtection="1">
      <alignment horizontal="center"/>
      <protection locked="0" hidden="1"/>
    </xf>
    <xf numFmtId="0" fontId="19" fillId="0" borderId="95" xfId="0" applyFont="1" applyBorder="1" applyAlignment="1">
      <alignment horizontal="center"/>
    </xf>
    <xf numFmtId="0" fontId="25" fillId="0" borderId="93" xfId="0" applyFont="1" applyBorder="1" applyAlignment="1">
      <alignment horizontal="center"/>
    </xf>
    <xf numFmtId="0" fontId="34" fillId="0" borderId="94" xfId="0" applyFont="1" applyBorder="1" applyAlignment="1" applyProtection="1">
      <alignment horizontal="center"/>
      <protection locked="0"/>
    </xf>
    <xf numFmtId="0" fontId="34" fillId="0" borderId="93" xfId="0" applyFont="1" applyBorder="1" applyProtection="1">
      <protection locked="0" hidden="1"/>
    </xf>
    <xf numFmtId="0" fontId="0" fillId="0" borderId="93" xfId="0" applyBorder="1"/>
    <xf numFmtId="0" fontId="0" fillId="0" borderId="96" xfId="0" applyBorder="1"/>
    <xf numFmtId="0" fontId="34" fillId="0" borderId="79" xfId="0" applyFont="1" applyBorder="1" applyAlignment="1" applyProtection="1">
      <alignment horizontal="center"/>
      <protection locked="0" hidden="1"/>
    </xf>
    <xf numFmtId="0" fontId="34" fillId="0" borderId="80" xfId="0" applyFont="1" applyBorder="1" applyAlignment="1" applyProtection="1">
      <alignment horizontal="center"/>
      <protection locked="0" hidden="1"/>
    </xf>
    <xf numFmtId="0" fontId="34" fillId="0" borderId="85" xfId="0" applyFont="1" applyBorder="1" applyAlignment="1" applyProtection="1">
      <alignment horizontal="center"/>
      <protection locked="0" hidden="1"/>
    </xf>
    <xf numFmtId="0" fontId="34" fillId="0" borderId="86" xfId="0" applyFont="1" applyBorder="1" applyAlignment="1" applyProtection="1">
      <alignment horizontal="center"/>
      <protection locked="0" hidden="1"/>
    </xf>
    <xf numFmtId="0" fontId="3" fillId="0" borderId="80" xfId="0" applyFont="1" applyBorder="1" applyAlignment="1">
      <alignment horizontal="center"/>
    </xf>
    <xf numFmtId="0" fontId="3" fillId="0" borderId="83" xfId="0" applyFont="1" applyBorder="1" applyAlignment="1">
      <alignment horizontal="center"/>
    </xf>
    <xf numFmtId="0" fontId="3" fillId="0" borderId="86" xfId="0" applyFont="1" applyBorder="1" applyAlignment="1">
      <alignment horizontal="center"/>
    </xf>
    <xf numFmtId="0" fontId="34" fillId="0" borderId="15" xfId="0" applyFont="1" applyBorder="1"/>
    <xf numFmtId="0" fontId="53" fillId="0" borderId="15" xfId="0" applyFont="1" applyBorder="1" applyAlignment="1">
      <alignment horizontal="left"/>
    </xf>
    <xf numFmtId="0" fontId="19" fillId="0" borderId="0" xfId="0" applyFont="1" applyAlignment="1">
      <alignment horizontal="right"/>
    </xf>
    <xf numFmtId="0" fontId="0" fillId="0" borderId="60" xfId="0" applyBorder="1"/>
    <xf numFmtId="0" fontId="0" fillId="0" borderId="67" xfId="0" applyBorder="1"/>
    <xf numFmtId="0" fontId="53" fillId="0" borderId="0" xfId="0" applyFont="1"/>
    <xf numFmtId="0" fontId="55" fillId="0" borderId="0" xfId="0" applyFont="1" applyAlignment="1">
      <alignment horizontal="center"/>
    </xf>
    <xf numFmtId="0" fontId="32" fillId="0" borderId="97" xfId="0" applyFont="1" applyBorder="1" applyAlignment="1">
      <alignment horizontal="left"/>
    </xf>
    <xf numFmtId="0" fontId="50" fillId="0" borderId="15" xfId="0" applyFont="1" applyBorder="1" applyAlignment="1">
      <alignment horizontal="center"/>
    </xf>
    <xf numFmtId="0" fontId="34" fillId="0" borderId="15" xfId="0" applyFont="1" applyBorder="1" applyAlignment="1">
      <alignment horizontal="right"/>
    </xf>
    <xf numFmtId="0" fontId="34" fillId="0" borderId="40" xfId="0" applyFont="1" applyBorder="1"/>
    <xf numFmtId="0" fontId="19" fillId="0" borderId="15" xfId="0" applyFont="1" applyBorder="1"/>
    <xf numFmtId="0" fontId="19" fillId="0" borderId="15" xfId="0" applyFont="1" applyBorder="1" applyAlignment="1">
      <alignment horizontal="right"/>
    </xf>
    <xf numFmtId="0" fontId="34" fillId="0" borderId="98" xfId="0" applyFont="1" applyBorder="1"/>
    <xf numFmtId="0" fontId="0" fillId="0" borderId="0" xfId="0" applyAlignment="1" applyProtection="1">
      <alignment horizontal="center"/>
      <protection locked="0"/>
    </xf>
    <xf numFmtId="0" fontId="19" fillId="0" borderId="51" xfId="0" applyFont="1" applyBorder="1" applyAlignment="1">
      <alignment horizontal="center"/>
    </xf>
    <xf numFmtId="0" fontId="19" fillId="0" borderId="54" xfId="0" applyFont="1" applyBorder="1" applyAlignment="1">
      <alignment horizontal="center"/>
    </xf>
    <xf numFmtId="0" fontId="19" fillId="0" borderId="57" xfId="0" applyFont="1" applyBorder="1" applyAlignment="1">
      <alignment horizontal="center"/>
    </xf>
    <xf numFmtId="0" fontId="33" fillId="0" borderId="51" xfId="0" applyFont="1" applyBorder="1" applyAlignment="1">
      <alignment horizontal="center"/>
    </xf>
    <xf numFmtId="0" fontId="33" fillId="0" borderId="54" xfId="0" applyFont="1" applyBorder="1" applyAlignment="1">
      <alignment horizontal="center"/>
    </xf>
    <xf numFmtId="0" fontId="33" fillId="0" borderId="57" xfId="0" applyFont="1" applyBorder="1" applyAlignment="1">
      <alignment horizontal="center"/>
    </xf>
    <xf numFmtId="0" fontId="19" fillId="0" borderId="72" xfId="0" applyFont="1" applyBorder="1" applyAlignment="1">
      <alignment horizontal="center"/>
    </xf>
    <xf numFmtId="0" fontId="19" fillId="0" borderId="75" xfId="0" applyFont="1" applyBorder="1" applyAlignment="1">
      <alignment horizontal="center"/>
    </xf>
    <xf numFmtId="0" fontId="19" fillId="0" borderId="78" xfId="0" applyFont="1" applyBorder="1" applyAlignment="1">
      <alignment horizontal="center"/>
    </xf>
    <xf numFmtId="0" fontId="19" fillId="0" borderId="96" xfId="0" applyFont="1" applyBorder="1" applyAlignment="1">
      <alignment horizontal="center"/>
    </xf>
    <xf numFmtId="0" fontId="0" fillId="0" borderId="46" xfId="0" pivotButton="1" applyBorder="1" applyProtection="1">
      <protection locked="0"/>
    </xf>
    <xf numFmtId="0" fontId="26" fillId="0" borderId="0" xfId="0" pivotButton="1" applyFont="1" applyProtection="1">
      <protection locked="0"/>
    </xf>
    <xf numFmtId="0" fontId="26" fillId="0" borderId="0" xfId="0" pivotButton="1" applyFont="1" applyAlignment="1" applyProtection="1">
      <alignment horizontal="left"/>
      <protection locked="0"/>
    </xf>
    <xf numFmtId="0" fontId="0" fillId="0" borderId="0" xfId="0" pivotButton="1" applyProtection="1">
      <protection locked="0"/>
    </xf>
    <xf numFmtId="0" fontId="26" fillId="0" borderId="0" xfId="0" applyFont="1" applyProtection="1">
      <protection locked="0"/>
    </xf>
    <xf numFmtId="3" fontId="2" fillId="0" borderId="49" xfId="0" applyNumberFormat="1" applyFont="1" applyBorder="1" applyAlignment="1" applyProtection="1">
      <alignment horizontal="center"/>
      <protection locked="0"/>
    </xf>
    <xf numFmtId="3" fontId="2" fillId="0" borderId="99" xfId="0" applyNumberFormat="1" applyFont="1" applyBorder="1" applyAlignment="1" applyProtection="1">
      <alignment horizontal="center"/>
      <protection locked="0"/>
    </xf>
    <xf numFmtId="3" fontId="2" fillId="0" borderId="101" xfId="0" applyNumberFormat="1" applyFont="1" applyBorder="1" applyAlignment="1" applyProtection="1">
      <alignment horizontal="center"/>
      <protection locked="0"/>
    </xf>
    <xf numFmtId="3" fontId="6" fillId="0" borderId="100" xfId="0" applyNumberFormat="1" applyFont="1" applyBorder="1" applyAlignment="1" applyProtection="1">
      <alignment horizontal="center"/>
      <protection locked="0"/>
    </xf>
    <xf numFmtId="3" fontId="6" fillId="0" borderId="103" xfId="0" applyNumberFormat="1" applyFont="1" applyBorder="1" applyAlignment="1" applyProtection="1">
      <alignment horizontal="center"/>
      <protection locked="0"/>
    </xf>
    <xf numFmtId="3" fontId="62" fillId="0" borderId="102" xfId="0" applyNumberFormat="1" applyFont="1" applyBorder="1" applyAlignment="1" applyProtection="1">
      <alignment horizontal="center"/>
      <protection locked="0"/>
    </xf>
    <xf numFmtId="3" fontId="6" fillId="0" borderId="99" xfId="0" applyNumberFormat="1" applyFont="1" applyBorder="1" applyAlignment="1" applyProtection="1">
      <alignment horizontal="center"/>
      <protection locked="0"/>
    </xf>
    <xf numFmtId="3" fontId="6" fillId="0" borderId="102" xfId="0" applyNumberFormat="1" applyFont="1" applyBorder="1" applyAlignment="1" applyProtection="1">
      <alignment horizontal="center"/>
      <protection locked="0"/>
    </xf>
    <xf numFmtId="0" fontId="88" fillId="7" borderId="0" xfId="0" applyFont="1" applyFill="1" applyAlignment="1">
      <alignment horizontal="center" vertical="center"/>
    </xf>
    <xf numFmtId="0" fontId="88" fillId="7" borderId="0" xfId="0" applyFont="1" applyFill="1" applyAlignment="1">
      <alignment horizontal="left" vertical="center" indent="2"/>
    </xf>
    <xf numFmtId="0" fontId="0" fillId="0" borderId="0" xfId="0" applyAlignment="1">
      <alignment horizontal="left" vertical="center" indent="2"/>
    </xf>
    <xf numFmtId="0" fontId="0" fillId="8" borderId="104" xfId="0" applyFill="1" applyBorder="1" applyAlignment="1">
      <alignment horizontal="left"/>
    </xf>
    <xf numFmtId="0" fontId="0" fillId="5" borderId="0" xfId="0" applyFill="1"/>
    <xf numFmtId="14" fontId="0" fillId="5" borderId="0" xfId="0" applyNumberFormat="1" applyFill="1"/>
    <xf numFmtId="0" fontId="0" fillId="5" borderId="104" xfId="0" applyFill="1" applyBorder="1" applyAlignment="1">
      <alignment horizontal="left"/>
    </xf>
    <xf numFmtId="0" fontId="0" fillId="8" borderId="0" xfId="0" applyFill="1"/>
    <xf numFmtId="14" fontId="0" fillId="8" borderId="0" xfId="0" applyNumberFormat="1" applyFill="1"/>
    <xf numFmtId="0" fontId="0" fillId="5" borderId="0" xfId="0" applyFill="1" applyAlignment="1">
      <alignment horizontal="center"/>
    </xf>
    <xf numFmtId="0" fontId="26" fillId="5" borderId="0" xfId="0" applyFont="1" applyFill="1" applyAlignment="1">
      <alignment horizontal="left" vertical="center" indent="2"/>
    </xf>
    <xf numFmtId="14" fontId="0" fillId="8" borderId="105" xfId="0" applyNumberFormat="1" applyFill="1" applyBorder="1"/>
    <xf numFmtId="14" fontId="0" fillId="5" borderId="105" xfId="0" applyNumberFormat="1" applyFill="1" applyBorder="1"/>
    <xf numFmtId="0" fontId="1" fillId="5" borderId="0" xfId="0" applyFont="1" applyFill="1" applyAlignment="1">
      <alignment horizontal="left" vertical="center" indent="2"/>
    </xf>
    <xf numFmtId="0" fontId="29" fillId="5" borderId="0" xfId="0" applyFont="1" applyFill="1" applyAlignment="1">
      <alignment horizontal="left" vertical="center" indent="2"/>
    </xf>
    <xf numFmtId="0" fontId="0" fillId="5" borderId="0" xfId="0" applyFill="1" applyAlignment="1">
      <alignment horizontal="left" vertical="center" indent="2"/>
    </xf>
    <xf numFmtId="170" fontId="26" fillId="5" borderId="0" xfId="0" applyNumberFormat="1" applyFont="1" applyFill="1" applyAlignment="1">
      <alignment horizontal="left" vertical="center" indent="2"/>
    </xf>
    <xf numFmtId="170" fontId="0" fillId="5" borderId="0" xfId="0" applyNumberFormat="1" applyFill="1" applyAlignment="1">
      <alignment horizontal="left" vertical="center" indent="2"/>
    </xf>
    <xf numFmtId="14" fontId="0" fillId="5" borderId="0" xfId="0" applyNumberFormat="1" applyFill="1" applyAlignment="1">
      <alignment horizontal="center"/>
    </xf>
    <xf numFmtId="16" fontId="26" fillId="5" borderId="0" xfId="0" applyNumberFormat="1" applyFont="1" applyFill="1" applyAlignment="1">
      <alignment horizontal="left" vertical="center" indent="2"/>
    </xf>
    <xf numFmtId="0" fontId="90" fillId="0" borderId="0" xfId="3" applyFont="1" applyBorder="1" applyAlignment="1" applyProtection="1"/>
    <xf numFmtId="0" fontId="33" fillId="0" borderId="52" xfId="0" applyFon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33" fillId="0" borderId="53" xfId="0" applyFont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19" fillId="0" borderId="26" xfId="0" applyFont="1" applyBorder="1" applyAlignment="1" applyProtection="1">
      <alignment horizontal="left"/>
      <protection locked="0"/>
    </xf>
    <xf numFmtId="0" fontId="20" fillId="0" borderId="16" xfId="0" applyFont="1" applyBorder="1" applyProtection="1">
      <protection locked="0"/>
    </xf>
    <xf numFmtId="167" fontId="33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4" fontId="0" fillId="0" borderId="0" xfId="0" applyNumberFormat="1" applyProtection="1">
      <protection locked="0"/>
    </xf>
    <xf numFmtId="0" fontId="0" fillId="0" borderId="0" xfId="0" applyProtection="1">
      <protection locked="0"/>
    </xf>
    <xf numFmtId="0" fontId="34" fillId="0" borderId="0" xfId="0" applyFont="1" applyAlignment="1">
      <alignment horizontal="center"/>
    </xf>
    <xf numFmtId="0" fontId="0" fillId="0" borderId="0" xfId="0"/>
    <xf numFmtId="0" fontId="33" fillId="0" borderId="0" xfId="0" applyFont="1" applyAlignment="1" applyProtection="1">
      <alignment horizontal="left"/>
      <protection locked="0"/>
    </xf>
    <xf numFmtId="0" fontId="5" fillId="0" borderId="0" xfId="0" applyFont="1" applyProtection="1">
      <protection locked="0"/>
    </xf>
    <xf numFmtId="0" fontId="19" fillId="0" borderId="16" xfId="0" applyFont="1" applyBorder="1" applyAlignment="1" applyProtection="1">
      <alignment horizontal="left"/>
      <protection locked="0"/>
    </xf>
    <xf numFmtId="0" fontId="34" fillId="0" borderId="30" xfId="0" applyFont="1" applyBorder="1" applyAlignment="1" applyProtection="1">
      <alignment horizontal="center"/>
      <protection locked="0"/>
    </xf>
    <xf numFmtId="0" fontId="0" fillId="0" borderId="30" xfId="0" applyBorder="1" applyAlignment="1">
      <alignment horizontal="center"/>
    </xf>
    <xf numFmtId="0" fontId="34" fillId="0" borderId="50" xfId="0" applyFont="1" applyBorder="1" applyAlignment="1" applyProtection="1">
      <alignment horizontal="right"/>
      <protection locked="0" hidden="1"/>
    </xf>
    <xf numFmtId="0" fontId="0" fillId="0" borderId="50" xfId="0" applyBorder="1" applyAlignment="1" applyProtection="1">
      <alignment horizontal="right"/>
      <protection locked="0" hidden="1"/>
    </xf>
    <xf numFmtId="0" fontId="34" fillId="0" borderId="53" xfId="0" applyFont="1" applyBorder="1" applyAlignment="1" applyProtection="1">
      <alignment horizontal="right"/>
      <protection locked="0" hidden="1"/>
    </xf>
    <xf numFmtId="0" fontId="0" fillId="0" borderId="53" xfId="0" applyBorder="1" applyAlignment="1" applyProtection="1">
      <alignment horizontal="right"/>
      <protection locked="0" hidden="1"/>
    </xf>
    <xf numFmtId="0" fontId="34" fillId="0" borderId="56" xfId="0" applyFont="1" applyBorder="1" applyAlignment="1" applyProtection="1">
      <alignment horizontal="right"/>
      <protection locked="0" hidden="1"/>
    </xf>
    <xf numFmtId="0" fontId="34" fillId="0" borderId="0" xfId="0" applyFont="1" applyAlignment="1" applyProtection="1">
      <alignment horizontal="left"/>
      <protection locked="0"/>
    </xf>
    <xf numFmtId="0" fontId="34" fillId="0" borderId="8" xfId="0" applyFont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18" fillId="0" borderId="6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7" xfId="0" applyBorder="1" applyAlignment="1">
      <alignment horizontal="center"/>
    </xf>
    <xf numFmtId="0" fontId="60" fillId="0" borderId="38" xfId="0" applyFont="1" applyBorder="1" applyAlignment="1">
      <alignment horizontal="center"/>
    </xf>
    <xf numFmtId="0" fontId="0" fillId="0" borderId="38" xfId="0" applyBorder="1"/>
    <xf numFmtId="0" fontId="23" fillId="0" borderId="16" xfId="0" applyFont="1" applyBorder="1" applyAlignment="1">
      <alignment horizontal="center"/>
    </xf>
    <xf numFmtId="0" fontId="27" fillId="0" borderId="29" xfId="0" applyFont="1" applyBorder="1" applyAlignment="1">
      <alignment horizontal="center"/>
    </xf>
    <xf numFmtId="0" fontId="0" fillId="0" borderId="30" xfId="0" applyBorder="1"/>
    <xf numFmtId="0" fontId="0" fillId="0" borderId="31" xfId="0" applyBorder="1"/>
    <xf numFmtId="0" fontId="20" fillId="0" borderId="27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20" fillId="0" borderId="23" xfId="0" applyFont="1" applyBorder="1" applyAlignment="1">
      <alignment horizontal="center"/>
    </xf>
    <xf numFmtId="0" fontId="20" fillId="0" borderId="16" xfId="0" applyFont="1" applyBorder="1" applyAlignment="1">
      <alignment horizontal="center"/>
    </xf>
    <xf numFmtId="0" fontId="20" fillId="0" borderId="34" xfId="0" applyFont="1" applyBorder="1" applyAlignment="1">
      <alignment horizontal="center"/>
    </xf>
    <xf numFmtId="0" fontId="71" fillId="0" borderId="10" xfId="0" applyFont="1" applyBorder="1" applyAlignment="1">
      <alignment horizontal="center"/>
    </xf>
    <xf numFmtId="0" fontId="71" fillId="0" borderId="11" xfId="0" applyFont="1" applyBorder="1" applyAlignment="1">
      <alignment horizontal="center"/>
    </xf>
    <xf numFmtId="0" fontId="68" fillId="0" borderId="11" xfId="0" applyFont="1" applyBorder="1" applyAlignment="1">
      <alignment horizontal="center"/>
    </xf>
    <xf numFmtId="0" fontId="74" fillId="0" borderId="47" xfId="0" applyFont="1" applyBorder="1" applyAlignment="1">
      <alignment horizontal="center"/>
    </xf>
    <xf numFmtId="0" fontId="68" fillId="0" borderId="0" xfId="0" applyFont="1"/>
    <xf numFmtId="164" fontId="74" fillId="0" borderId="44" xfId="0" applyNumberFormat="1" applyFont="1" applyBorder="1" applyAlignment="1">
      <alignment horizontal="center" vertical="center"/>
    </xf>
    <xf numFmtId="169" fontId="69" fillId="0" borderId="44" xfId="0" applyNumberFormat="1" applyFont="1" applyBorder="1" applyAlignment="1">
      <alignment horizontal="left" vertical="center"/>
    </xf>
    <xf numFmtId="0" fontId="83" fillId="0" borderId="47" xfId="0" applyFont="1" applyBorder="1" applyAlignment="1">
      <alignment horizontal="center"/>
    </xf>
    <xf numFmtId="0" fontId="71" fillId="0" borderId="47" xfId="0" applyFont="1" applyBorder="1" applyAlignment="1">
      <alignment horizontal="center"/>
    </xf>
    <xf numFmtId="0" fontId="68" fillId="0" borderId="10" xfId="0" applyFont="1" applyBorder="1" applyAlignment="1">
      <alignment horizontal="center"/>
    </xf>
    <xf numFmtId="0" fontId="76" fillId="0" borderId="47" xfId="0" applyFont="1" applyBorder="1" applyAlignment="1">
      <alignment horizontal="center"/>
    </xf>
    <xf numFmtId="0" fontId="71" fillId="0" borderId="15" xfId="0" applyFont="1" applyBorder="1" applyAlignment="1">
      <alignment horizontal="center"/>
    </xf>
    <xf numFmtId="0" fontId="0" fillId="0" borderId="40" xfId="0" applyBorder="1"/>
    <xf numFmtId="0" fontId="71" fillId="0" borderId="0" xfId="0" applyFont="1"/>
    <xf numFmtId="0" fontId="74" fillId="0" borderId="8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0" fillId="0" borderId="8" xfId="0" applyBorder="1" applyAlignment="1">
      <alignment vertical="center"/>
    </xf>
    <xf numFmtId="0" fontId="74" fillId="0" borderId="44" xfId="0" applyFont="1" applyBorder="1"/>
    <xf numFmtId="0" fontId="0" fillId="0" borderId="44" xfId="0" applyBorder="1"/>
    <xf numFmtId="0" fontId="0" fillId="0" borderId="45" xfId="0" applyBorder="1"/>
    <xf numFmtId="0" fontId="85" fillId="0" borderId="15" xfId="0" applyFont="1" applyBorder="1" applyAlignment="1">
      <alignment horizontal="center"/>
    </xf>
    <xf numFmtId="0" fontId="19" fillId="0" borderId="40" xfId="0" applyFont="1" applyBorder="1" applyAlignment="1">
      <alignment horizontal="center"/>
    </xf>
    <xf numFmtId="0" fontId="84" fillId="0" borderId="15" xfId="0" applyFont="1" applyBorder="1" applyAlignment="1">
      <alignment horizontal="center"/>
    </xf>
    <xf numFmtId="0" fontId="22" fillId="0" borderId="40" xfId="0" applyFont="1" applyBorder="1" applyAlignment="1">
      <alignment horizontal="center"/>
    </xf>
    <xf numFmtId="0" fontId="34" fillId="0" borderId="69" xfId="0" applyFont="1" applyBorder="1" applyAlignment="1" applyProtection="1">
      <alignment horizontal="right"/>
      <protection locked="0" hidden="1"/>
    </xf>
    <xf numFmtId="0" fontId="0" fillId="0" borderId="67" xfId="0" applyBorder="1" applyProtection="1">
      <protection locked="0" hidden="1"/>
    </xf>
    <xf numFmtId="0" fontId="0" fillId="0" borderId="56" xfId="0" applyBorder="1" applyAlignment="1" applyProtection="1">
      <alignment horizontal="right"/>
      <protection locked="0" hidden="1"/>
    </xf>
    <xf numFmtId="0" fontId="66" fillId="0" borderId="29" xfId="0" applyFont="1" applyBorder="1" applyAlignment="1">
      <alignment horizontal="center"/>
    </xf>
    <xf numFmtId="0" fontId="19" fillId="0" borderId="30" xfId="0" applyFont="1" applyBorder="1" applyAlignment="1">
      <alignment horizontal="center"/>
    </xf>
    <xf numFmtId="0" fontId="19" fillId="0" borderId="31" xfId="0" applyFont="1" applyBorder="1" applyAlignment="1">
      <alignment horizontal="center"/>
    </xf>
    <xf numFmtId="0" fontId="34" fillId="0" borderId="15" xfId="0" applyFont="1" applyBorder="1" applyAlignment="1" applyProtection="1">
      <alignment horizontal="left"/>
      <protection locked="0"/>
    </xf>
    <xf numFmtId="0" fontId="0" fillId="0" borderId="15" xfId="0" applyBorder="1" applyProtection="1">
      <protection locked="0"/>
    </xf>
    <xf numFmtId="0" fontId="0" fillId="0" borderId="40" xfId="0" applyBorder="1" applyProtection="1">
      <protection locked="0"/>
    </xf>
    <xf numFmtId="0" fontId="0" fillId="0" borderId="9" xfId="0" applyBorder="1" applyProtection="1">
      <protection locked="0"/>
    </xf>
    <xf numFmtId="0" fontId="34" fillId="0" borderId="68" xfId="0" applyFont="1" applyBorder="1" applyAlignment="1" applyProtection="1">
      <alignment horizontal="right"/>
      <protection locked="0" hidden="1"/>
    </xf>
    <xf numFmtId="0" fontId="0" fillId="0" borderId="60" xfId="0" applyBorder="1" applyProtection="1">
      <protection locked="0" hidden="1"/>
    </xf>
    <xf numFmtId="0" fontId="34" fillId="0" borderId="64" xfId="0" applyFont="1" applyBorder="1" applyAlignment="1" applyProtection="1">
      <alignment horizontal="right"/>
      <protection locked="0" hidden="1"/>
    </xf>
    <xf numFmtId="0" fontId="0" fillId="0" borderId="63" xfId="0" applyBorder="1" applyProtection="1">
      <protection locked="0" hidden="1"/>
    </xf>
    <xf numFmtId="167" fontId="5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3" fillId="0" borderId="0" xfId="0" applyFont="1" applyAlignment="1" applyProtection="1">
      <alignment horizontal="center"/>
      <protection locked="0"/>
    </xf>
    <xf numFmtId="0" fontId="34" fillId="0" borderId="0" xfId="0" applyFont="1" applyAlignment="1" applyProtection="1">
      <alignment horizontal="center"/>
      <protection locked="0"/>
    </xf>
    <xf numFmtId="0" fontId="25" fillId="0" borderId="16" xfId="0" applyFont="1" applyBorder="1" applyAlignment="1" applyProtection="1">
      <alignment horizontal="left"/>
      <protection locked="0"/>
    </xf>
    <xf numFmtId="0" fontId="0" fillId="0" borderId="16" xfId="0" applyBorder="1" applyAlignment="1" applyProtection="1">
      <alignment horizontal="left"/>
      <protection locked="0"/>
    </xf>
    <xf numFmtId="0" fontId="25" fillId="0" borderId="26" xfId="0" applyFont="1" applyBorder="1" applyAlignment="1" applyProtection="1">
      <alignment horizontal="left"/>
      <protection locked="0"/>
    </xf>
    <xf numFmtId="164" fontId="75" fillId="0" borderId="44" xfId="0" applyNumberFormat="1" applyFont="1" applyBorder="1" applyAlignment="1">
      <alignment horizontal="center" vertical="center"/>
    </xf>
    <xf numFmtId="0" fontId="0" fillId="0" borderId="0" xfId="0" applyAlignment="1" applyProtection="1">
      <alignment horizontal="center"/>
      <protection locked="0"/>
    </xf>
    <xf numFmtId="0" fontId="34" fillId="0" borderId="87" xfId="0" applyFont="1" applyBorder="1" applyAlignment="1" applyProtection="1">
      <alignment horizontal="right"/>
      <protection locked="0" hidden="1"/>
    </xf>
    <xf numFmtId="0" fontId="0" fillId="0" borderId="85" xfId="0" applyBorder="1" applyProtection="1">
      <protection locked="0" hidden="1"/>
    </xf>
    <xf numFmtId="0" fontId="34" fillId="0" borderId="77" xfId="0" applyFont="1" applyBorder="1" applyAlignment="1" applyProtection="1">
      <alignment horizontal="right"/>
      <protection locked="0" hidden="1"/>
    </xf>
    <xf numFmtId="0" fontId="0" fillId="0" borderId="77" xfId="0" applyBorder="1" applyAlignment="1" applyProtection="1">
      <alignment horizontal="right"/>
      <protection locked="0" hidden="1"/>
    </xf>
    <xf numFmtId="0" fontId="19" fillId="0" borderId="20" xfId="0" applyFont="1" applyBorder="1" applyAlignment="1">
      <alignment horizontal="center"/>
    </xf>
    <xf numFmtId="0" fontId="34" fillId="0" borderId="81" xfId="0" applyFont="1" applyBorder="1" applyAlignment="1" applyProtection="1">
      <alignment horizontal="right"/>
      <protection locked="0" hidden="1"/>
    </xf>
    <xf numFmtId="0" fontId="0" fillId="0" borderId="79" xfId="0" applyBorder="1" applyProtection="1">
      <protection locked="0" hidden="1"/>
    </xf>
    <xf numFmtId="0" fontId="34" fillId="0" borderId="71" xfId="0" applyFont="1" applyBorder="1" applyAlignment="1" applyProtection="1">
      <alignment horizontal="right"/>
      <protection locked="0" hidden="1"/>
    </xf>
    <xf numFmtId="0" fontId="0" fillId="0" borderId="71" xfId="0" applyBorder="1" applyAlignment="1" applyProtection="1">
      <alignment horizontal="right"/>
      <protection locked="0" hidden="1"/>
    </xf>
    <xf numFmtId="0" fontId="34" fillId="0" borderId="84" xfId="0" applyFont="1" applyBorder="1" applyAlignment="1" applyProtection="1">
      <alignment horizontal="right"/>
      <protection locked="0" hidden="1"/>
    </xf>
    <xf numFmtId="0" fontId="0" fillId="0" borderId="82" xfId="0" applyBorder="1" applyProtection="1">
      <protection locked="0" hidden="1"/>
    </xf>
    <xf numFmtId="0" fontId="34" fillId="0" borderId="74" xfId="0" applyFont="1" applyBorder="1" applyAlignment="1" applyProtection="1">
      <alignment horizontal="right"/>
      <protection locked="0" hidden="1"/>
    </xf>
    <xf numFmtId="0" fontId="0" fillId="0" borderId="74" xfId="0" applyBorder="1" applyAlignment="1" applyProtection="1">
      <alignment horizontal="right"/>
      <protection locked="0" hidden="1"/>
    </xf>
    <xf numFmtId="0" fontId="71" fillId="0" borderId="6" xfId="0" applyFont="1" applyBorder="1" applyAlignment="1">
      <alignment horizontal="center"/>
    </xf>
    <xf numFmtId="0" fontId="71" fillId="0" borderId="17" xfId="0" applyFont="1" applyBorder="1" applyAlignment="1">
      <alignment horizontal="center"/>
    </xf>
    <xf numFmtId="0" fontId="71" fillId="0" borderId="7" xfId="0" applyFont="1" applyBorder="1" applyAlignment="1">
      <alignment horizontal="center"/>
    </xf>
    <xf numFmtId="164" fontId="68" fillId="0" borderId="0" xfId="0" applyNumberFormat="1" applyFont="1"/>
    <xf numFmtId="0" fontId="25" fillId="0" borderId="91" xfId="0" applyFont="1" applyBorder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0" fontId="34" fillId="0" borderId="85" xfId="0" applyFont="1" applyBorder="1" applyAlignment="1" applyProtection="1">
      <alignment horizontal="right"/>
      <protection locked="0" hidden="1"/>
    </xf>
    <xf numFmtId="0" fontId="34" fillId="0" borderId="82" xfId="0" applyFont="1" applyBorder="1" applyAlignment="1" applyProtection="1">
      <alignment horizontal="right"/>
      <protection locked="0" hidden="1"/>
    </xf>
    <xf numFmtId="0" fontId="34" fillId="0" borderId="95" xfId="0" applyFont="1" applyBorder="1" applyAlignment="1" applyProtection="1">
      <alignment horizontal="right"/>
      <protection locked="0" hidden="1"/>
    </xf>
    <xf numFmtId="0" fontId="0" fillId="0" borderId="92" xfId="0" applyBorder="1" applyProtection="1">
      <protection locked="0" hidden="1"/>
    </xf>
    <xf numFmtId="0" fontId="34" fillId="0" borderId="93" xfId="0" applyFont="1" applyBorder="1" applyAlignment="1" applyProtection="1">
      <alignment horizontal="right"/>
      <protection locked="0" hidden="1"/>
    </xf>
    <xf numFmtId="0" fontId="0" fillId="0" borderId="93" xfId="0" applyBorder="1" applyAlignment="1" applyProtection="1">
      <alignment horizontal="right"/>
      <protection locked="0" hidden="1"/>
    </xf>
    <xf numFmtId="170" fontId="25" fillId="0" borderId="0" xfId="0" applyNumberFormat="1" applyFont="1" applyAlignment="1" applyProtection="1">
      <alignment horizontal="center"/>
      <protection locked="0"/>
    </xf>
    <xf numFmtId="0" fontId="20" fillId="0" borderId="9" xfId="0" applyFont="1" applyBorder="1" applyAlignment="1">
      <alignment horizontal="center"/>
    </xf>
    <xf numFmtId="0" fontId="53" fillId="0" borderId="70" xfId="0" applyFont="1" applyBorder="1" applyAlignment="1">
      <alignment horizontal="center" vertical="top" textRotation="45"/>
    </xf>
    <xf numFmtId="0" fontId="53" fillId="0" borderId="76" xfId="0" applyFont="1" applyBorder="1" applyAlignment="1">
      <alignment horizontal="center" vertical="top" textRotation="45"/>
    </xf>
    <xf numFmtId="0" fontId="53" fillId="0" borderId="79" xfId="0" applyFont="1" applyBorder="1" applyAlignment="1">
      <alignment horizontal="center" vertical="top" textRotation="45"/>
    </xf>
    <xf numFmtId="0" fontId="53" fillId="0" borderId="85" xfId="0" applyFont="1" applyBorder="1" applyAlignment="1">
      <alignment horizontal="center" vertical="top" textRotation="45"/>
    </xf>
    <xf numFmtId="167" fontId="53" fillId="0" borderId="0" xfId="0" applyNumberFormat="1" applyFont="1" applyAlignment="1">
      <alignment horizontal="left" wrapText="1"/>
    </xf>
    <xf numFmtId="170" fontId="33" fillId="0" borderId="0" xfId="0" applyNumberFormat="1" applyFont="1" applyAlignment="1" applyProtection="1">
      <alignment horizontal="center"/>
      <protection locked="0"/>
    </xf>
    <xf numFmtId="0" fontId="66" fillId="0" borderId="21" xfId="0" applyFont="1" applyBorder="1" applyAlignment="1">
      <alignment horizontal="center"/>
    </xf>
  </cellXfs>
  <cellStyles count="12">
    <cellStyle name="Lien hypertexte" xfId="1" builtinId="8" hidden="1"/>
    <cellStyle name="Lien hypertexte" xfId="3" builtinId="8"/>
    <cellStyle name="Lien hypertexte visité" xfId="2" builtinId="9" hidden="1"/>
    <cellStyle name="Normal" xfId="0" builtinId="0"/>
    <cellStyle name="Normal 2" xfId="4" xr:uid="{00000000-0005-0000-0000-000004000000}"/>
    <cellStyle name="Normal 3" xfId="5" xr:uid="{00000000-0005-0000-0000-000005000000}"/>
    <cellStyle name="Normal 4" xfId="6" xr:uid="{00000000-0005-0000-0000-000006000000}"/>
    <cellStyle name="Normal 5" xfId="7" xr:uid="{00000000-0005-0000-0000-000007000000}"/>
    <cellStyle name="Normal 6" xfId="8" xr:uid="{00000000-0005-0000-0000-000008000000}"/>
    <cellStyle name="Normal 7" xfId="9" xr:uid="{00000000-0005-0000-0000-000009000000}"/>
    <cellStyle name="Normal 8" xfId="10" xr:uid="{00000000-0005-0000-0000-00000A000000}"/>
    <cellStyle name="Normal 9" xfId="11" xr:uid="{00000000-0005-0000-0000-00000B000000}"/>
  </cellStyles>
  <dxfs count="265"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border>
        <right style="thin">
          <color theme="9" tint="-0.499984740745262"/>
        </right>
      </border>
    </dxf>
    <dxf>
      <alignment horizontal="left" readingOrder="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border>
        <right style="thin">
          <color theme="9" tint="-0.499984740745262"/>
        </right>
      </border>
    </dxf>
    <dxf>
      <alignment horizontal="left" readingOrder="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border>
        <right style="thin">
          <color theme="9" tint="-0.499984740745262"/>
        </right>
      </border>
    </dxf>
    <dxf>
      <alignment horizontal="left" readingOrder="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border>
        <right style="thin">
          <color theme="9" tint="-0.499984740745262"/>
        </right>
      </border>
    </dxf>
    <dxf>
      <alignment horizontal="left" readingOrder="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border>
        <right style="thin">
          <color theme="9" tint="-0.499984740745262"/>
        </right>
      </border>
    </dxf>
    <dxf>
      <alignment horizontal="left" readingOrder="0"/>
    </dxf>
    <dxf>
      <font>
        <color auto="1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</dxf>
    <dxf>
      <font>
        <b/>
        <i val="0"/>
      </font>
    </dxf>
    <dxf>
      <fill>
        <patternFill>
          <bgColor rgb="FFFFFF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b/>
        <i val="0"/>
      </font>
    </dxf>
    <dxf>
      <font>
        <b/>
        <i val="0"/>
        <color rgb="FFFF0000"/>
      </font>
    </dxf>
    <dxf>
      <font>
        <b/>
        <i val="0"/>
      </font>
    </dxf>
    <dxf>
      <fill>
        <patternFill>
          <bgColor rgb="FFFFFF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b/>
        <i val="0"/>
      </font>
    </dxf>
    <dxf>
      <font>
        <b/>
        <i val="0"/>
        <color rgb="FFFF0000"/>
      </font>
    </dxf>
    <dxf>
      <font>
        <b/>
        <i val="0"/>
      </font>
    </dxf>
    <dxf>
      <fill>
        <patternFill>
          <bgColor rgb="FFFFFF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b/>
        <i val="0"/>
        <color auto="1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</font>
    </dxf>
    <dxf>
      <fill>
        <patternFill>
          <bgColor rgb="FFFFFF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b/>
        <i val="0"/>
        <color auto="1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</font>
    </dxf>
    <dxf>
      <fill>
        <patternFill>
          <bgColor rgb="FFFFFF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ill>
        <patternFill>
          <bgColor rgb="FFFF0000"/>
        </patternFill>
      </fill>
    </dxf>
    <dxf>
      <font>
        <b/>
        <i val="0"/>
        <color auto="1"/>
      </font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 patternType="none">
          <bgColor auto="1"/>
        </patternFill>
      </fill>
    </dxf>
    <dxf>
      <font>
        <b/>
        <i val="0"/>
      </font>
    </dxf>
    <dxf>
      <fill>
        <patternFill>
          <bgColor rgb="FFFFFF00"/>
        </patternFill>
      </fill>
    </dxf>
    <dxf>
      <font>
        <b/>
        <i val="0"/>
        <strike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b/>
        <i val="0"/>
      </font>
    </dxf>
    <dxf>
      <font>
        <color auto="1"/>
      </font>
    </dxf>
    <dxf>
      <alignment horizontal="left" readingOrder="0"/>
    </dxf>
    <dxf>
      <border>
        <right style="thin">
          <color theme="9" tint="-0.499984740745262"/>
        </right>
      </border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alignment horizontal="left" readingOrder="0"/>
    </dxf>
    <dxf>
      <border>
        <right style="thin">
          <color theme="9" tint="-0.499984740745262"/>
        </right>
      </border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  <vertical style="thin">
          <color theme="9" tint="-0.499984740745262"/>
        </vertical>
        <horizontal style="thin">
          <color theme="9" tint="-0.499984740745262"/>
        </horizontal>
      </border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  <vertical style="thin">
          <color theme="9" tint="-0.499984740745262"/>
        </vertical>
        <horizontal style="thin">
          <color theme="9" tint="-0.499984740745262"/>
        </horizontal>
      </border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alignment horizontal="left" readingOrder="0"/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  <vertical style="thin">
          <color theme="9" tint="-0.499984740745262"/>
        </vertical>
        <horizontal style="thin">
          <color theme="9" tint="-0.499984740745262"/>
        </horizontal>
      </border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  <vertical style="thin">
          <color theme="9" tint="-0.499984740745262"/>
        </vertical>
        <horizontal style="thin">
          <color theme="9" tint="-0.499984740745262"/>
        </horizontal>
      </border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alignment horizontal="left" readingOrder="0"/>
    </dxf>
    <dxf>
      <alignment horizontal="left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left" readingOrder="0"/>
    </dxf>
    <dxf>
      <border>
        <right style="thin">
          <color theme="9" tint="-0.499984740745262"/>
        </right>
      </border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alignment horizontal="left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horizontal="left" readingOrder="0"/>
    </dxf>
    <dxf>
      <alignment horizontal="left" readingOrder="0"/>
    </dxf>
    <dxf>
      <alignment horizontal="left" readingOrder="0"/>
    </dxf>
    <dxf>
      <alignment horizontal="left" readingOrder="0"/>
    </dxf>
    <dxf>
      <alignment vertical="center" readingOrder="0"/>
    </dxf>
    <dxf>
      <alignment vertical="center" readingOrder="0"/>
    </dxf>
    <dxf>
      <alignment horizontal="left" readingOrder="0"/>
    </dxf>
    <dxf>
      <border>
        <right style="thin">
          <color theme="9" tint="-0.499984740745262"/>
        </right>
      </border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border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</border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</dxfs>
  <tableStyles count="0" defaultTableStyle="TableStyleMedium9" defaultPivotStyle="PivotStyleMedium7"/>
  <colors>
    <mruColors>
      <color rgb="FFA438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1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71436</xdr:colOff>
      <xdr:row>0</xdr:row>
      <xdr:rowOff>35537</xdr:rowOff>
    </xdr:from>
    <xdr:to>
      <xdr:col>25</xdr:col>
      <xdr:colOff>471127</xdr:colOff>
      <xdr:row>4</xdr:row>
      <xdr:rowOff>98424</xdr:rowOff>
    </xdr:to>
    <xdr:pic>
      <xdr:nvPicPr>
        <xdr:cNvPr id="2" name="Picture 25" descr="Résultat de recherche d'images pour &quot;tennis de table ufolep&quot;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72836" y="35537"/>
          <a:ext cx="2533291" cy="1202712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35718</xdr:colOff>
      <xdr:row>0</xdr:row>
      <xdr:rowOff>35721</xdr:rowOff>
    </xdr:from>
    <xdr:to>
      <xdr:col>26</xdr:col>
      <xdr:colOff>421666</xdr:colOff>
      <xdr:row>4</xdr:row>
      <xdr:rowOff>157162</xdr:rowOff>
    </xdr:to>
    <xdr:pic>
      <xdr:nvPicPr>
        <xdr:cNvPr id="2" name="Picture 25" descr="Résultat de recherche d'images pour &quot;tennis de table ufolep&quot;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51156" y="35721"/>
          <a:ext cx="2529073" cy="1250154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35718</xdr:colOff>
      <xdr:row>0</xdr:row>
      <xdr:rowOff>35721</xdr:rowOff>
    </xdr:from>
    <xdr:to>
      <xdr:col>26</xdr:col>
      <xdr:colOff>421666</xdr:colOff>
      <xdr:row>5</xdr:row>
      <xdr:rowOff>119062</xdr:rowOff>
    </xdr:to>
    <xdr:pic>
      <xdr:nvPicPr>
        <xdr:cNvPr id="2" name="Picture 25" descr="Résultat de recherche d'images pour &quot;tennis de table ufolep&quot;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55918" y="35721"/>
          <a:ext cx="2529073" cy="1235866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35718</xdr:colOff>
      <xdr:row>0</xdr:row>
      <xdr:rowOff>35721</xdr:rowOff>
    </xdr:from>
    <xdr:to>
      <xdr:col>26</xdr:col>
      <xdr:colOff>421666</xdr:colOff>
      <xdr:row>5</xdr:row>
      <xdr:rowOff>119062</xdr:rowOff>
    </xdr:to>
    <xdr:pic>
      <xdr:nvPicPr>
        <xdr:cNvPr id="2" name="Picture 25" descr="Résultat de recherche d'images pour &quot;tennis de table ufolep&quot;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7818" y="35721"/>
          <a:ext cx="2519548" cy="1230151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35718</xdr:colOff>
      <xdr:row>0</xdr:row>
      <xdr:rowOff>35721</xdr:rowOff>
    </xdr:from>
    <xdr:to>
      <xdr:col>27</xdr:col>
      <xdr:colOff>68</xdr:colOff>
      <xdr:row>4</xdr:row>
      <xdr:rowOff>157162</xdr:rowOff>
    </xdr:to>
    <xdr:pic>
      <xdr:nvPicPr>
        <xdr:cNvPr id="2" name="Picture 25" descr="Résultat de recherche d'images pour &quot;tennis de table ufolep&quot;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55918" y="35721"/>
          <a:ext cx="2536100" cy="1235866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35718</xdr:colOff>
      <xdr:row>0</xdr:row>
      <xdr:rowOff>35721</xdr:rowOff>
    </xdr:from>
    <xdr:to>
      <xdr:col>27</xdr:col>
      <xdr:colOff>68</xdr:colOff>
      <xdr:row>4</xdr:row>
      <xdr:rowOff>61912</xdr:rowOff>
    </xdr:to>
    <xdr:pic>
      <xdr:nvPicPr>
        <xdr:cNvPr id="2" name="Picture 25" descr="Résultat de recherche d'images pour &quot;tennis de table ufolep&quot;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55918" y="35721"/>
          <a:ext cx="2536100" cy="1235866"/>
        </a:xfrm>
        <a:prstGeom prst="rect">
          <a:avLst/>
        </a:prstGeom>
        <a:noFill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elodie m." id="{7281A357-31DD-4638-B7EE-CB67E83535F5}" userId="d603f055c12341d2" providerId="Windows Live"/>
</personList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lodie m." refreshedDate="45974.364330324075" createdVersion="3" refreshedVersion="8" minRefreshableVersion="3" recordCount="704" xr:uid="{00000000-000A-0000-FFFF-FFFF55000000}">
  <cacheSource type="worksheet">
    <worksheetSource name="Listing"/>
  </cacheSource>
  <cacheFields count="7">
    <cacheField name="CLUB" numFmtId="0">
      <sharedItems count="36">
        <s v="BUSSY"/>
        <s v="CHAINTREAUX"/>
        <s v="CHAMBRY"/>
        <s v="COULOMMIERS"/>
        <s v="COURTOMER"/>
        <s v="FAVIERES"/>
        <s v="FERRIERES"/>
        <s v="MAROLLES"/>
        <s v="MELUN"/>
        <s v="MONTHYON"/>
        <s v="MOUSSY"/>
        <s v="NANTOUILLET"/>
        <s v="PONTHIERRY"/>
        <s v="PROVINS"/>
        <s v="QUINCY"/>
        <s v="ROZAY"/>
        <s v="VENEUX"/>
        <s v="VILLEMER"/>
        <s v="VOISENON"/>
        <s v="VULAINES"/>
        <s v="Milly Maisse" u="1"/>
        <s v="SOUPPES" u="1"/>
        <s v="La Ville du Bois" u="1"/>
        <s v="NANGIS" u="1"/>
        <s v="ENT SOU/NEM/CHA" u="1"/>
        <s v="NEMOURS" u="1"/>
        <s v="QUNCY" u="1"/>
        <s v="MORMANT" u="1"/>
        <s v="ENT SOU/NEM" u="1"/>
        <s v="GRETZ" u="1"/>
        <s v="JOUY SUR MORIN" u="1"/>
        <s v="SAVIGNY" u="1"/>
        <s v="Coudray-Montceaux TT" u="1"/>
        <s v="Breuillet" u="1"/>
        <s v="COUBERT" u="1"/>
        <s v="NOISIEL" u="1"/>
      </sharedItems>
    </cacheField>
    <cacheField name="Code Joueur" numFmtId="0">
      <sharedItems containsSemiMixedTypes="0" containsString="0" containsNumber="1" containsInteger="1" minValue="1" maxValue="126" count="126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6"/>
        <n v="97"/>
        <n v="98"/>
        <n v="99"/>
        <n v="100"/>
        <n v="101"/>
        <n v="102"/>
        <n v="103"/>
        <n v="104"/>
        <n v="105"/>
        <n v="106"/>
        <n v="107"/>
        <n v="108"/>
        <n v="109"/>
        <n v="110"/>
        <n v="111"/>
        <n v="112"/>
        <n v="113"/>
        <n v="114"/>
        <n v="115"/>
        <n v="116"/>
        <n v="117"/>
        <n v="118"/>
        <n v="119"/>
        <n v="120"/>
        <n v="121"/>
        <n v="122"/>
        <n v="123"/>
        <n v="124"/>
        <n v="125"/>
        <n v="126"/>
      </sharedItems>
    </cacheField>
    <cacheField name="NOM" numFmtId="0">
      <sharedItems count="1276">
        <s v="ATRIDE"/>
        <s v="BARNIER"/>
        <s v="BONNEVIALE"/>
        <s v="CAUSSANEL"/>
        <s v="CHANG"/>
        <s v="DAUBY"/>
        <s v="DENY"/>
        <s v="DUPONT "/>
        <s v="FAYS"/>
        <s v="FLACHAIRE DE ROUSTAN"/>
        <s v="FROMENT"/>
        <s v="LADEVE"/>
        <s v="LI"/>
        <s v="LU"/>
        <s v="MALARD"/>
        <s v="MARZOUK"/>
        <s v="MONTEIRO"/>
        <s v="NGO"/>
        <s v="POISNEUF"/>
        <s v="SAISOTH"/>
        <s v="SIMON"/>
        <s v="SMIALKOWSKI"/>
        <s v="SRENG"/>
        <s v="STRULLU"/>
        <s v="THOMERT"/>
        <s v="TILLENAYAGANE"/>
        <s v="TRANG"/>
        <s v="TRIGALO WOJAKOWSKI"/>
        <s v="ZHANG DEVESA"/>
        <s v="AVRIL"/>
        <s v="BARON"/>
        <s v="BAUDET"/>
        <s v="BERUET"/>
        <s v="BRIARD"/>
        <s v="DA SILVA NOVAIS"/>
        <s v="DOS SANTOS DA SILVA"/>
        <s v="FANON"/>
        <s v="FOURDINIER"/>
        <s v="GUERISEC"/>
        <s v="HOURMAN"/>
        <s v="LAINE"/>
        <s v="LEDUC"/>
        <s v="LERA"/>
        <s v="MARTIN"/>
        <s v="OFFMANN"/>
        <s v="POGNANT"/>
        <s v="REBOUCO"/>
        <s v="SCHNEIDER"/>
        <s v="TOUSSAINT"/>
        <s v="TRAULLE"/>
        <s v="BOURQUENCIER"/>
        <s v="COURTIAL"/>
        <s v="DREVET"/>
        <s v="DUSSART"/>
        <s v="MAZIER"/>
        <s v="MAZURE"/>
        <s v="MOUTACHY"/>
        <s v="SAINVAL-NOEL"/>
        <s v="VAVASSEUR-DESPERRIERS"/>
        <s v="WARTELLE"/>
        <s v="ANDRE"/>
        <s v="ANDREI"/>
        <s v="DELIGNY"/>
        <s v="DHORBAIT"/>
        <s v="DUBREUIL"/>
        <s v="FICHER"/>
        <s v="HASSAN"/>
        <s v="LAMBOLEZ"/>
        <s v="LASSUYT"/>
        <s v="LE ROUX"/>
        <s v="LECLERCQ"/>
        <s v="MIREAUX"/>
        <s v="PAYSAL"/>
        <s v="TANGUY"/>
        <s v="ALISON"/>
        <s v="BASTIDE"/>
        <s v="BELLINTANI"/>
        <s v="BONNEVILLE"/>
        <s v="BUISSON"/>
        <s v="BROSSE"/>
        <s v="CABUT"/>
        <s v="CARREIRA"/>
        <s v="CHARLES"/>
        <s v="COCHELIN"/>
        <s v="COELHO"/>
        <s v="CORMIER"/>
        <s v="DAS NEVES"/>
        <s v="DELAMARRE"/>
        <s v="DROUHIN"/>
        <s v="DUPLOUYS"/>
        <s v="GARINET"/>
        <s v="GUILLOTIN"/>
        <s v="LANGE"/>
        <s v="LEFEVRE"/>
        <s v="LETUVE"/>
        <s v="MADEIRA"/>
        <s v="MILLET"/>
        <s v="NICOLAS"/>
        <s v="PAILLER"/>
        <s v="PEPIN"/>
        <s v="PEYRIND"/>
        <s v="PIERRE JULIEN"/>
        <s v="PORTAIS"/>
        <s v="SOULIS"/>
        <s v="FORTIN"/>
        <s v="IMBERT"/>
        <s v="LLOPIS"/>
        <s v="MARC"/>
        <s v="MOGENOT"/>
        <s v="PELGAS"/>
        <s v="SIDI"/>
        <s v="STOSSE"/>
        <s v="TISSIEVY"/>
        <s v="VIÉ"/>
        <s v="BERMUDEZ"/>
        <s v="BORIES"/>
        <s v="BRUANDET"/>
        <s v="CORGNAC"/>
        <s v="COZ"/>
        <s v="DIOT"/>
        <s v="FABIEN"/>
        <s v="HAUTY"/>
        <s v="HOUSSAIS"/>
        <s v="HUNOUT"/>
        <s v="JACQUERY"/>
        <s v="LAMBERT"/>
        <s v="LEISER"/>
        <s v="MEUNIER"/>
        <s v="PHILIPS"/>
        <s v="PUZONE"/>
        <s v="SYRYKHANE"/>
        <s v="TAVON"/>
        <s v="AMAR"/>
        <s v="BAEZER PLE"/>
        <s v="BEKKAOUI"/>
        <s v="BERNARD"/>
        <s v="BERTINI"/>
        <s v="BERTINOTTI"/>
        <s v="BOULET"/>
        <s v="BOUTIN"/>
        <s v="BOUTIN COLIN"/>
        <s v="BROCHARD"/>
        <s v="CALAME"/>
        <s v="CORTINA"/>
        <s v="DANJOU"/>
        <s v="DAVENEL"/>
        <s v="DE JONCKERE"/>
        <s v="DE SOUSA"/>
        <s v="DECOURT"/>
        <s v="DELHOUM"/>
        <s v="DUBUC"/>
        <s v="DUPONT"/>
        <s v="FASSIER"/>
        <s v="FEUGUEUR"/>
        <s v="FORÊT"/>
        <s v="GEORGES"/>
        <s v="GERARD"/>
        <s v="HANAUER"/>
        <s v="HAVY"/>
        <s v="JABOU"/>
        <s v="JACQ BOYER"/>
        <s v="LANCE"/>
        <s v="LAUMONIER"/>
        <s v="LEGOFF"/>
        <s v="LORIMIER"/>
        <s v="MACQUET"/>
        <s v="MADELAINE"/>
        <s v="MENARD"/>
        <s v="MINEO"/>
        <s v="MINÉO"/>
        <s v="PAPON"/>
        <s v="PASQUET"/>
        <s v="PLÉ"/>
        <s v="POILPOT"/>
        <s v="PRAYER"/>
        <s v="ROUILLARD"/>
        <s v="SCHMITT"/>
        <s v="SIMARD"/>
        <s v="SEMELAGNE"/>
        <s v="SEMELAGNE-BONTOUR"/>
        <s v="SHENAL"/>
        <s v="ZHENG"/>
        <s v="AMEURLAIN"/>
        <s v="AZIZ"/>
        <s v="BARREIROS"/>
        <s v="BAZIZ"/>
        <s v="BECKER"/>
        <s v="BENABDALLAH CHARRIER"/>
        <s v="BERSOT"/>
        <s v="BISPO"/>
        <s v="BLONDELOT"/>
        <s v="BOTEREL"/>
        <s v="BOULAND"/>
        <s v="BOUTET BARRAL"/>
        <s v="BRICOUT"/>
        <s v="BUART"/>
        <s v="CEBALLOS"/>
        <s v="CHABRAISON"/>
        <s v="CHALUPKA"/>
        <s v="CHERRIER"/>
        <s v="CLARISSON"/>
        <s v="COMERSON"/>
        <s v="COURREGELONGUE"/>
        <s v="COUSSEAU"/>
        <s v="CROIZER"/>
        <s v="CRUCIANI"/>
        <s v="DE LA VILLEMARQUE"/>
        <s v="DELEAN"/>
        <s v="DI CARLO CEZARD"/>
        <s v="DOS REIS"/>
        <s v="DUCHENE"/>
        <s v="DUQUESNE"/>
        <s v="ELAN"/>
        <s v="FIGUEIREDO"/>
        <s v="FONTAINE"/>
        <s v="FUZIER"/>
        <s v="GAUDRIN"/>
        <s v="GICQUEL"/>
        <s v="GRYSAN"/>
        <s v="GUILLEVIN"/>
        <s v="HADJADJ"/>
        <s v="HARIGA"/>
        <s v="HERTGEN"/>
        <s v="HUP"/>
        <s v="JOACHIM"/>
        <s v="JULLEMIER"/>
        <s v="KACZMAREK"/>
        <s v="KARIA"/>
        <s v="LACROIX"/>
        <s v="LELAURE"/>
        <s v="LEMARCHAND"/>
        <s v="LOUNISSI"/>
        <s v="LOUVET"/>
        <s v="MACE RICHARD"/>
        <s v="MARCHAND"/>
        <s v="MARIE"/>
        <s v="MARTIN-LEMAGNE"/>
        <s v="MASSON "/>
        <s v="MERCOU"/>
        <s v="MOLNAR"/>
        <s v="MOLOU"/>
        <s v="MONDOU"/>
        <s v="MOUROT"/>
        <s v="MUTTER"/>
        <s v="NESME"/>
        <s v="PAILLARD"/>
        <s v="PARTISOTTI"/>
        <s v="PIGNATELLI"/>
        <s v="PIOLLET"/>
        <s v="POUZET"/>
        <s v="PRIGENT"/>
        <s v="PROSPER"/>
        <s v="PRUD'HOMME"/>
        <s v="QUINTARD"/>
        <s v="RADOUANI"/>
        <s v="RESSORT"/>
        <s v="SCHONBACKLER"/>
        <s v="SOUFFLET"/>
        <s v="SOZUAN"/>
        <s v="TALLON"/>
        <s v="TAVARES SEMENO"/>
        <s v="THILLAUX"/>
        <s v="THORET LESESTRE"/>
        <s v="TOUPENCE"/>
        <s v="VARENGUIN"/>
        <s v="WEBER"/>
        <s v="YAKPOVI"/>
        <s v="YILMAZ"/>
        <s v="ZERIBA"/>
        <s v="BEJANNIN"/>
        <s v="BESANA"/>
        <s v="BOIS"/>
        <s v="CHARLOT"/>
        <s v="CHOFFARDET"/>
        <s v="DHELIN"/>
        <s v="DJILGHIR"/>
        <s v="DOUBLET"/>
        <s v="KHOUAS"/>
        <s v="LEONARD"/>
        <s v="LODOTCHNIKOFF"/>
        <s v="LUU"/>
        <s v="MOINGEON"/>
        <s v="MORLOT"/>
        <s v="PLUSQUELEC"/>
        <s v="ROCHES"/>
        <s v="ROMERO"/>
        <s v="SIRVIN"/>
        <s v="TYCHEKEWITCHE"/>
        <s v="VALENTIN"/>
        <s v="BELLER"/>
        <s v="BEVILACQUA"/>
        <s v="DEROUET"/>
        <s v="LEMOINE"/>
        <s v="MARTINEZ"/>
        <s v="POLICARPO"/>
        <s v="EGO"/>
        <s v="FOMBELLE"/>
        <s v="FORTUNE"/>
        <s v="GAUTHIER"/>
        <s v="KACPROWSKI"/>
        <s v="LEBRUN"/>
        <s v="LOF"/>
        <s v="NOTTIN"/>
        <s v="RAFFIN"/>
        <s v="BOILOT"/>
        <s v="CHOPINET"/>
        <s v="CROPSAL"/>
        <s v="DARMEON"/>
        <s v="DE ALMEIDA"/>
        <s v="DEJOIE"/>
        <s v="DELAVAL"/>
        <s v="DEVAULT"/>
        <s v="DUPERRON"/>
        <s v="DUTILLY"/>
        <s v="HEZER"/>
        <s v="LANDEREAU"/>
        <s v="LANDREAT"/>
        <s v="MAZURIER"/>
        <s v="MONGIN"/>
        <s v="MONTENEGRO"/>
        <s v="ROUSSEAU"/>
        <s v="ROUTIER"/>
        <s v="SCEAUX"/>
        <s v="SERVAIS"/>
        <s v="THAMALET"/>
        <s v="THEVENET"/>
        <s v="TOURNANT"/>
        <s v="AJJAJI"/>
        <s v="ALDALLAL"/>
        <s v="ALOUI"/>
        <s v="AOUF"/>
        <s v="AVELINE"/>
        <s v="BEKTACHE"/>
        <s v="BOUVIER"/>
        <s v="BURY"/>
        <s v="CAPRAIS"/>
        <s v="CHARETIE"/>
        <s v="CHAUDRON-BIASOTTO"/>
        <s v="CIURKO"/>
        <s v="CLERGEOT"/>
        <s v="DAGORET"/>
        <s v="DE BELLEVILLE"/>
        <s v="DEHES"/>
        <s v="DI SALVO"/>
        <s v="DUCHAMP"/>
        <s v="DUVAL"/>
        <s v="FAVREAU"/>
        <s v="FEROT"/>
        <s v="FRANTZ"/>
        <s v="FREDERIC-RAYMOND"/>
        <s v="GILBLAS"/>
        <s v="GUERREIRO"/>
        <s v="HAG"/>
        <s v="HALLE SMITS"/>
        <s v="LAHRACH"/>
        <s v="LANOIR OLIVEIRA LIMA"/>
        <s v="LE GOFF"/>
        <s v="LEBOEUF"/>
        <s v="LECLERC"/>
        <s v="LEGRAS"/>
        <s v="LENOIR"/>
        <s v="LOISELET"/>
        <s v="MAKHLOUF"/>
        <s v="MARESTAING"/>
        <s v="MARTHOU"/>
        <s v="MAUJEAN"/>
        <s v="PETIT"/>
        <s v="PICHOT"/>
        <s v="RAFIK"/>
        <s v="REGUIG"/>
        <s v="RENAT"/>
        <s v="SEGUIN"/>
        <s v="SOUDAN-RAVAUD"/>
        <s v="SOUVERIN"/>
        <s v="TAUPIN CARTIGNIES"/>
        <s v="TRANVAN"/>
        <s v="VERCRUYSSE"/>
        <s v="VERMET"/>
        <s v="VILLAIN"/>
        <s v="BODELET"/>
        <s v="BRAUD"/>
        <s v="RICHARD MAXIMINI"/>
        <s v="UDOVC"/>
        <s v="DOS SANTOS"/>
        <s v="HARTMANN"/>
        <s v="LASSERE"/>
        <s v="MANETTI"/>
        <s v="MARIERE"/>
        <s v="MATHIES"/>
        <s v="PINTOS VILLORIA"/>
        <s v="PIRET"/>
        <s v="PUEYO"/>
        <s v="AGNIER"/>
        <s v="AGRON"/>
        <s v="AIRAULT"/>
        <s v="BARRAULT GUEBIN"/>
        <s v="BLANCHARD"/>
        <s v="BOISSOT"/>
        <s v="BORDAGE"/>
        <s v="BOUCHER"/>
        <s v="BOURASSIN"/>
        <s v="BOURGIS"/>
        <s v="BREBION"/>
        <s v="CANTELOUP"/>
        <s v="CHABAUD"/>
        <s v="CHAMOURET"/>
        <s v="CHANTIN"/>
        <s v="CHASSEVENT"/>
        <s v="CHAUMIER"/>
        <s v="CHEKIR SALCEDO"/>
        <s v="CLAUSS-COUVREUR-NEU"/>
        <s v="COEVOET"/>
        <s v="COSSON"/>
        <s v="CROCHARD"/>
        <s v="CROIZE"/>
        <s v="CSICSO"/>
        <s v="DE SMET"/>
        <s v="DEMANGE"/>
        <s v="DERISBOURG"/>
        <s v="DESASSIS"/>
        <s v="DONNOT"/>
        <s v="DUBOIS"/>
        <s v="DUDICOURT"/>
        <s v="FERMI"/>
        <s v="FORESTAL"/>
        <s v="FRANCOIS"/>
        <s v="FREIDEL"/>
        <s v="GAULE"/>
        <s v="GIBLIN"/>
        <s v="GIL--FARENC"/>
        <s v="GIRSCH"/>
        <s v="GONCALVES"/>
        <s v="GORON"/>
        <s v="GRAUER"/>
        <s v="GROSJEAN"/>
        <s v="GUEDJ"/>
        <s v="GUEUTIN"/>
        <s v="GUILLERM"/>
        <s v="GUILLIOMET"/>
        <s v="HERNIO-SILVA"/>
        <s v="HOLIN"/>
        <s v="HOULIER"/>
        <s v="HYM"/>
        <s v="JACQUINOT FONSECA"/>
        <s v="JACQUINOT"/>
        <s v="JARDINET"/>
        <s v="LACHAISE"/>
        <s v="LALARME"/>
        <s v="LAPENDRY"/>
        <s v="LE TOUCHE"/>
        <s v="LECERF"/>
        <s v="LECOQ"/>
        <s v="LEHMANN HANNOUN"/>
        <s v="LESAGE"/>
        <s v="LESCOT"/>
        <s v="LESEIGNEUR"/>
        <s v="LIGER"/>
        <s v="LOQUET"/>
        <s v="LOTZ"/>
        <s v="LUGUET"/>
        <s v="MALO"/>
        <s v="MARTIN POTIRON"/>
        <s v="MAURY"/>
        <s v="MC PNTYRE"/>
        <s v="MORILLON"/>
        <s v="MTIBAA"/>
        <s v="MUCKENSTURM"/>
        <s v="NAUDET"/>
        <s v="NUNES JORGE"/>
        <s v="OLIVEIRA"/>
        <s v="OZOG"/>
        <s v="PEREIRA ALAOUI"/>
        <s v="PROUVAY"/>
        <s v="ROBIN"/>
        <s v="RODRIGUES"/>
        <s v="RUS"/>
        <s v="SABATHIER"/>
        <s v="SADOUX"/>
        <s v="SEGUI"/>
        <s v="SIHLE"/>
        <s v="SMILA"/>
        <s v="SOUCHARD"/>
        <s v="STAN"/>
        <s v="TAYMANS"/>
        <s v="VANMEENEN"/>
        <s v="VEINIERE"/>
        <s v="WALIGORA"/>
        <s v="WANG"/>
        <s v="WUITHIER"/>
        <s v="ZHOU"/>
        <s v="AUJARD POIRIER"/>
        <s v="BIDAUT"/>
        <s v="CACHET"/>
        <s v="CANDIOTTI"/>
        <s v="CASSE"/>
        <s v="CATRIN GOMES"/>
        <s v="CHANSON"/>
        <s v="CLEMENT"/>
        <s v="CONAN"/>
        <s v="CONTENT"/>
        <s v="DE SEIXAS"/>
        <s v="DECORNOY"/>
        <s v="DUCROCQ-LANGEL"/>
        <s v="DUPRE PARISOT"/>
        <s v="DUTHEIL"/>
        <s v="GIACCO"/>
        <s v="GIRAULT-FARRUGIA"/>
        <s v="GUESPIN"/>
        <s v="GUILLEMOT"/>
        <s v="JOUBERT"/>
        <s v="KUBIEZ"/>
        <s v="LEBORGNE"/>
        <s v="MANDIANGU"/>
        <s v="MATHE"/>
        <s v="MERMINOD"/>
        <s v="MESTRE"/>
        <s v="NICOLAIEFF"/>
        <s v="NOULETTE"/>
        <s v="POIRIER"/>
        <s v="REFAUVELET"/>
        <s v="ROCHET"/>
        <s v="RODOT"/>
        <s v="SEGONDAT"/>
        <s v="TAROU"/>
        <s v="TESSIER CERTAIN"/>
        <s v="TOMAS SOLDATI"/>
        <s v="VANLERBERGHE"/>
        <s v="YHUEL"/>
        <s v="AKRICH"/>
        <s v="BARLIEU"/>
        <s v="BOBINEAU"/>
        <s v="BOURDETTE"/>
        <s v="BOURGEAUX"/>
        <s v="CHEVALLIER"/>
        <s v="COUDRAT YVARS"/>
        <s v="DE AVEIRO "/>
        <s v="DROUAULT"/>
        <s v="DUVEAU"/>
        <s v="FAURE"/>
        <s v="FLUSIN"/>
        <s v="FOURNIER"/>
        <s v="FRAILLON"/>
        <s v="GILLOTOT"/>
        <s v="INIZIAN"/>
        <s v="LAMOTTE"/>
        <s v="LEROY"/>
        <s v="LIDEC"/>
        <s v="NION"/>
        <s v="PAUPE"/>
        <s v="PEREIRA-ESTEVES"/>
        <s v="POUGIN"/>
        <s v="RANAIVOSON"/>
        <s v="RENARD"/>
        <s v="THOMAS"/>
        <s v="BLANC"/>
        <s v="BONANNI"/>
        <s v="BOUSSETON"/>
        <s v="CARDINAL"/>
        <s v="CHERON"/>
        <s v="CHERON GUYOT"/>
        <s v="DALAINE"/>
        <s v="FEUILLETIN"/>
        <s v="FOLLI"/>
        <s v="GRES"/>
        <s v="HEISBOURG CATHERINE"/>
        <s v="HERBOUX"/>
        <s v="LECHAT"/>
        <s v="NGUYEN"/>
        <s v="POULIQUEN"/>
        <s v="SEGURA"/>
        <s v="SOUSA"/>
        <s v="THIBAUT"/>
        <s v="COEVET" u="1"/>
        <s v="COLET" u="1"/>
        <s v="LAPLAUD" u="1"/>
        <s v="LALLISSINI" u="1"/>
        <s v="SOREL" u="1"/>
        <s v="MAUSSE" u="1"/>
        <s v="LE BRIS" u="1"/>
        <s v="DJEBARRI" u="1"/>
        <s v="TURK" u="1"/>
        <s v="GUILON" u="1"/>
        <s v="BERTHELOT" u="1"/>
        <s v="QUESNEL" u="1"/>
        <s v="GOMES" u="1"/>
        <s v="VALLES" u="1"/>
        <s v="BINET" u="1"/>
        <s v="BACHELLIER-MAGNE" u="1"/>
        <s v="SALOPEK" u="1"/>
        <s v="DUDONS" u="1"/>
        <s v="PERRODIN" u="1"/>
        <s v="BEUGNON" u="1"/>
        <s v="GUINOT" u="1"/>
        <s v="EVRARD" u="1"/>
        <s v="KOURDACHE" u="1"/>
        <s v="HABAY" u="1"/>
        <s v="AITOUAKLI" u="1"/>
        <s v="BERUET-TOQUART" u="1"/>
        <s v="FOISY" u="1"/>
        <s v="CASSOTTI" u="1"/>
        <s v="NOGUEIRA" u="1"/>
        <s v="OUDRY" u="1"/>
        <s v="GUILLARD" u="1"/>
        <s v="HARDOIN" u="1"/>
        <s v="CHABOUREAU" u="1"/>
        <s v="MONEUSE" u="1"/>
        <s v="ARNAUD" u="1"/>
        <s v="GUSTAN" u="1"/>
        <s v="GAULTIER" u="1"/>
        <s v="TIXIDOR" u="1"/>
        <s v="LERAY" u="1"/>
        <s v="AVISSE" u="1"/>
        <s v="POUJOL" u="1"/>
        <s v="CALLEJA" u="1"/>
        <s v="LEGER" u="1"/>
        <s v="PAYEN" u="1"/>
        <s v="PAYRAMAURE" u="1"/>
        <s v="MARSAULT" u="1"/>
        <s v="FAULE" u="1"/>
        <s v="DELAQUAIZE" u="1"/>
        <s v="GED" u="1"/>
        <s v="MORET" u="1"/>
        <s v="COTTENET" u="1"/>
        <s v="KNOUPS" u="1"/>
        <s v="AGYEI ACHEAMPONG" u="1"/>
        <s v="DO VAL" u="1"/>
        <s v="EDOUARD-BETSY" u="1"/>
        <s v="LOR" u="1"/>
        <s v="LETERME" u="1"/>
        <s v="LOT" u="1"/>
        <s v="MEHMETI" u="1"/>
        <s v="REZIG" u="1"/>
        <s v="DE LA OSA" u="1"/>
        <s v="IEZZI" u="1"/>
        <s v="SASSIAT" u="1"/>
        <s v="FARCY" u="1"/>
        <s v="UYGUR ALVERCA" u="1"/>
        <s v="MALICSKI" u="1"/>
        <s v="MARIE CATHERINE" u="1"/>
        <s v="MATYKA" u="1"/>
        <s v="DELORY" u="1"/>
        <s v="BELLIOT" u="1"/>
        <s v="GERVOIS" u="1"/>
        <s v="BROSSARD" u="1"/>
        <s v="ZAHID" u="1"/>
        <s v="PHAM VAN CANG" u="1"/>
        <s v="SUI" u="1"/>
        <s v="SOARES" u="1"/>
        <s v="LAUBY" u="1"/>
        <s v="MORIN" u="1"/>
        <s v="RUELLE" u="1"/>
        <s v="CHELBI" u="1"/>
        <s v="BOUCA NOVA GONCALVES" u="1"/>
        <s v="RIBLE" u="1"/>
        <s v="MENUT" u="1"/>
        <s v="HUYNH" u="1"/>
        <s v="MOURANGEOU" u="1"/>
        <s v="FRANCO" u="1"/>
        <s v="ANGLARD" u="1"/>
        <s v="VALLEE" u="1"/>
        <s v="GAILLARD" u="1"/>
        <s v="MAITREHUT" u="1"/>
        <s v="VALLA" u="1"/>
        <s v="COOREMAN" u="1"/>
        <s v="ENEYGUE" u="1"/>
        <s v="ROUILLE" u="1"/>
        <s v="SULTAN" u="1"/>
        <s v="JEANDOT" u="1"/>
        <s v="ROY" u="1"/>
        <s v="RAZAFINDRIANTSOA" u="1"/>
        <s v="CLERAY" u="1"/>
        <s v="LETONDOR" u="1"/>
        <s v="LAPLACE" u="1"/>
        <s v="LACHAUSSEE" u="1"/>
        <s v="SPEURT" u="1"/>
        <s v="NUNEZ" u="1"/>
        <s v="ALLEN" u="1"/>
        <s v="DULOQUIN" u="1"/>
        <s v="LENGLET" u="1"/>
        <s v="ROUSSET" u="1"/>
        <s v="SIVELSTRO" u="1"/>
        <s v="VUILLERMOZ" u="1"/>
        <s v="FRANCK" u="1"/>
        <s v="DENIS" u="1"/>
        <s v="COUTELLE" u="1"/>
        <s v="SPANNACCINI" u="1"/>
        <s v="LEBRIS" u="1"/>
        <s v="DUCHER" u="1"/>
        <s v="ARTHUR" u="1"/>
        <s v="NARME" u="1"/>
        <s v="BENOIST" u="1"/>
        <s v="LE ROY" u="1"/>
        <s v="MERLYNCK" u="1"/>
        <s v="MENDES" u="1"/>
        <s v="CANTEL" u="1"/>
        <s v="TAHIRI" u="1"/>
        <s v="DENISOT" u="1"/>
        <s v="NIANG" u="1"/>
        <s v="HUMBERT" u="1"/>
        <s v="ROCA" u="1"/>
        <s v="PERRETTE" u="1"/>
        <s v="DEGBO'E" u="1"/>
        <s v="COSTA" u="1"/>
        <s v="LAURENCE" u="1"/>
        <s v="COURCELLE" u="1"/>
        <s v="ROTSEN" u="1"/>
        <s v="SZMOREK" u="1"/>
        <s v="EWENCZYK" u="1"/>
        <s v="DOBE" u="1"/>
        <s v="DELCOURT" u="1"/>
        <s v="DEPEIGES" u="1"/>
        <s v="MARCOUS MENDES" u="1"/>
        <s v="ASTESANA" u="1"/>
        <s v="GUILLOUX" u="1"/>
        <s v="LOISELEUR" u="1"/>
        <s v="VERRECCHIA" u="1"/>
        <s v="GRIVEAU" u="1"/>
        <s v="FAGUETTE" u="1"/>
        <s v="DURAND" u="1"/>
        <s v="SALMON" u="1"/>
        <s v="MUNTZER" u="1"/>
        <s v="ARISTIN" u="1"/>
        <s v="SENOBLE" u="1"/>
        <s v="LEDAIN MERLO" u="1"/>
        <s v="MONS" u="1"/>
        <s v="BRUN" u="1"/>
        <s v="BERTUGLIA" u="1"/>
        <s v="JARDEL" u="1"/>
        <s v="AGATHE" u="1"/>
        <s v="FLAMAND" u="1"/>
        <s v="HILAIRE" u="1"/>
        <s v="BEAUDOIN" u="1"/>
        <s v="POITEVIN" u="1"/>
        <s v="MILANO" u="1"/>
        <s v="CHARATRE" u="1"/>
        <s v="BONAL" u="1"/>
        <s v="CANALE" u="1"/>
        <s v="BEDNAREK" u="1"/>
        <s v="NOVALI" u="1"/>
        <s v="DIDIER" u="1"/>
        <s v="MIGUEL" u="1"/>
        <s v="FAVREUX" u="1"/>
        <s v="DOREILLE" u="1"/>
        <s v="LELONG" u="1"/>
        <s v="BAYOL" u="1"/>
        <s v="CHENNEVIERE" u="1"/>
        <s v="BENIER" u="1"/>
        <s v="BOTTON" u="1"/>
        <s v="CAILLOUX" u="1"/>
        <s v="IANNETTA" u="1"/>
        <s v="JOSE" u="1"/>
        <s v="NASR" u="1"/>
        <s v="BORG" u="1"/>
        <s v="THISSE" u="1"/>
        <s v="STAL" u="1"/>
        <s v="HARRISON" u="1"/>
        <s v="PARIS" u="1"/>
        <s v="PUILLET" u="1"/>
        <s v="LOC TRIONG SING" u="1"/>
        <s v="DUBOS" u="1"/>
        <s v="PINGAL" u="1"/>
        <s v="LAMECH" u="1"/>
        <s v="MALHARBE" u="1"/>
        <s v="SCHAEFFER" u="1"/>
        <s v="JARDIN" u="1"/>
        <s v="MATHEY" u="1"/>
        <s v="LEMAIRE" u="1"/>
        <s v="NAAS" u="1"/>
        <s v="DOGAN" u="1"/>
        <s v="BOCCANFUSO" u="1"/>
        <s v="VANSEGHBROECK" u="1"/>
        <s v="MATHIAUX" u="1"/>
        <s v="CORDINA" u="1"/>
        <s v="PIAT" u="1"/>
        <s v="CAHOREAU" u="1"/>
        <s v="LIEU" u="1"/>
        <s v="BARRUS" u="1"/>
        <s v="CHARLERY" u="1"/>
        <s v="LAVAUX" u="1"/>
        <s v="DESPHELIPPON" u="1"/>
        <s v="DJERBI" u="1"/>
        <s v="HONG" u="1"/>
        <s v="CASTAING" u="1"/>
        <s v="DE LA VOLPILIERE" u="1"/>
        <s v="DEGROE" u="1"/>
        <s v="LE BOURHIS" u="1"/>
        <s v="KETCHUM" u="1"/>
        <s v="DAVID-GARCIA" u="1"/>
        <s v="PROGNON" u="1"/>
        <s v="LEFEVRE GROS" u="1"/>
        <s v="FRAGNET" u="1"/>
        <s v="GITTON" u="1"/>
        <s v="LEBON" u="1"/>
        <s v="PUAUD" u="1"/>
        <s v="BONHEUR" u="1"/>
        <s v="TIMBERT" u="1"/>
        <s v="LE COZE" u="1"/>
        <s v="VIGREUX" u="1"/>
        <s v="DAMOLIS" u="1"/>
        <s v="FELZINES" u="1"/>
        <s v="BIGOT" u="1"/>
        <s v="BONNIVARD" u="1"/>
        <s v="LANGLOIS" u="1"/>
        <s v="CHAVES CARVALHAIS" u="1"/>
        <s v="MOURLHOU" u="1"/>
        <s v="TELLIEZ" u="1"/>
        <s v="MANAI" u="1"/>
        <s v="AGRON SOST" u="1"/>
        <s v="HENRIOT" u="1"/>
        <s v="CLAIR" u="1"/>
        <s v="JUNOT" u="1"/>
        <s v="TENNEGUIN" u="1"/>
        <s v="BOSCHER" u="1"/>
        <s v="PUPPO" u="1"/>
        <s v="DELAFORGE" u="1"/>
        <s v="TREHOUT" u="1"/>
        <s v="MARESCHI" u="1"/>
        <s v="D'CRUZ" u="1"/>
        <s v="BRIVES" u="1"/>
        <s v="ONCIUL" u="1"/>
        <s v="DEVOS" u="1"/>
        <s v="LUNOT" u="1"/>
        <s v="MONARD" u="1"/>
        <s v="REGNIER" u="1"/>
        <s v="TISSERANT" u="1"/>
        <s v="SALAH" u="1"/>
        <s v="DELFOSSE" u="1"/>
        <s v="DALLET" u="1"/>
        <s v="ARNOUT" u="1"/>
        <s v="DEMULE" u="1"/>
        <s v="STEIGER" u="1"/>
        <s v="BOUILLOT" u="1"/>
        <s v="ALEXANDRE" u="1"/>
        <s v="BRUGNEAUX" u="1"/>
        <s v="MONTOYA" u="1"/>
        <s v="STRUZZO" u="1"/>
        <s v="PLANCHIN" u="1"/>
        <s v="HAMARD" u="1"/>
        <s v="LAUTRU" u="1"/>
        <s v="LARDON" u="1"/>
        <s v="SIGARI" u="1"/>
        <s v="MILLERET" u="1"/>
        <s v="SAULAY" u="1"/>
        <s v="COUTEAU" u="1"/>
        <s v="MENAGER" u="1"/>
        <s v="VASSEUR" u="1"/>
        <s v="HENOT" u="1"/>
        <s v="TILLENAYAGE" u="1"/>
        <s v="DEFOSSEUX" u="1"/>
        <s v="PETIT CASSET" u="1"/>
        <s v="CLERGE" u="1"/>
        <s v="TONG" u="1"/>
        <s v="CLAIRIN" u="1"/>
        <s v="DESPOIX" u="1"/>
        <s v="DROCOURT" u="1"/>
        <s v="VINCENT" u="1"/>
        <s v="BUSNEL" u="1"/>
        <s v="TEXIER" u="1"/>
        <s v="FABRICI" u="1"/>
        <s v="ROBILLARD" u="1"/>
        <s v="LEMOULLEC" u="1"/>
        <s v="HUFTIER" u="1"/>
        <s v="COLLIN" u="1"/>
        <s v="CRIE-DENIZOT" u="1"/>
        <s v="BETZ" u="1"/>
        <s v="PIVERT" u="1"/>
        <s v="LEJARRE" u="1"/>
        <s v="ALLIAUME" u="1"/>
        <s v="MOUMIANA" u="1"/>
        <s v="ZOUAK" u="1"/>
        <s v="PECHIN" u="1"/>
        <s v="JEGOU" u="1"/>
        <s v="ORANGE-HANNUS" u="1"/>
        <s v="NEVEUX" u="1"/>
        <s v="BOUL" u="1"/>
        <s v="IVANOVSKI" u="1"/>
        <s v="PICOT" u="1"/>
        <s v="LANDIS FASSLER" u="1"/>
        <s v="COIMBRA" u="1"/>
        <s v="CREUZET" u="1"/>
        <s v="SALEMBIEN PARIGOT" u="1"/>
        <s v="PIERRE" u="1"/>
        <s v="FRERE" u="1"/>
        <s v="PEREIRA" u="1"/>
        <s v="LE BORGNE" u="1"/>
        <s v="URBANIAK" u="1"/>
        <s v="VIGUIE" u="1"/>
        <s v="REZANNA" u="1"/>
        <s v="FERREIRA" u="1"/>
        <s v="SCHIAVI" u="1"/>
        <s v="TARANTO" u="1"/>
        <s v="PANARD" u="1"/>
        <s v="FROT" u="1"/>
        <s v="BRIENT" u="1"/>
        <s v="CLAUDE" u="1"/>
        <s v="LANGLAIS" u="1"/>
        <s v="CHAMPENOIS" u="1"/>
        <s v="LEPATRE" u="1"/>
        <s v="HARKATI" u="1"/>
        <s v="PINAUD" u="1"/>
        <s v="DEROISSART" u="1"/>
        <s v="VERGERON" u="1"/>
        <s v="BARRAULT" u="1"/>
        <s v="DUBUS" u="1"/>
        <s v="GOLDSTEIN" u="1"/>
        <s v="BIENATIKI" u="1"/>
        <s v="BENABDELLAZIZ" u="1"/>
        <s v="LAMY" u="1"/>
        <s v="LY" u="1"/>
        <s v="MASPIMBY" u="1"/>
        <s v="BOYER" u="1"/>
        <s v="RAMOS" u="1"/>
        <s v="GODQUIN" u="1"/>
        <s v="KOUZMENKA" u="1"/>
        <s v="SPERA" u="1"/>
        <s v="BEN ABED" u="1"/>
        <s v="MORELLI" u="1"/>
        <s v="JOFFRE" u="1"/>
        <s v="AUZENET" u="1"/>
        <s v="PLEUVEN" u="1"/>
        <s v="DESTHIEUX" u="1"/>
        <s v="MANGEOT" u="1"/>
        <s v="MERCIER" u="1"/>
        <s v="RENAUD" u="1"/>
        <s v="MOTTIER" u="1"/>
        <s v="LEROUX PIACENTINO" u="1"/>
        <s v="CHAPPE" u="1"/>
        <s v="PELLETIER" u="1"/>
        <s v="FERNANDES" u="1"/>
        <s v="RONDEAU" u="1"/>
        <s v="REGY" u="1"/>
        <s v="BONET" u="1"/>
        <s v="PEDENAUD" u="1"/>
        <s v="BENOIT" u="1"/>
        <s v="TABUYA-BROCHARD" u="1"/>
        <s v="PATRICE" u="1"/>
        <s v="DENOUEL " u="1"/>
        <s v="GAUTREAU" u="1"/>
        <s v="HOGER" u="1"/>
        <s v="VILLEFROY" u="1"/>
        <s v="BEYLOT" u="1"/>
        <s v="JEAUMOT" u="1"/>
        <s v="PIERRON" u="1"/>
        <s v="PERSIGAND" u="1"/>
        <s v="OUBREUIL" u="1"/>
        <s v="BARNARD" u="1"/>
        <s v="LAO-YEC" u="1"/>
        <s v="ROCAMORA" u="1"/>
        <s v="TRIBAUDOT" u="1"/>
        <s v="JURADO" u="1"/>
        <s v="VANDERLINDEN" u="1"/>
        <s v="TRAIN COUDRAT" u="1"/>
        <s v="PIERROT" u="1"/>
        <s v="PINTO" u="1"/>
        <s v="VERRIEN" u="1"/>
        <s v="LERICHE" u="1"/>
        <s v="BOSI-TOUZE" u="1"/>
        <s v="PERICHON" u="1"/>
        <s v="KACIMI" u="1"/>
        <s v="GINJO LAMARQUE" u="1"/>
        <s v="TISSIER" u="1"/>
        <s v="VITORINO" u="1"/>
        <s v="KOLMANN" u="1"/>
        <s v="SODIGNE" u="1"/>
        <s v="BONJOUR" u="1"/>
        <s v="DE DIETRICH" u="1"/>
        <s v="EUZENAT" u="1"/>
        <s v="BORDET" u="1"/>
        <s v="LAFRANCHI" u="1"/>
        <s v="BOUDET" u="1"/>
        <s v="LE" u="1"/>
        <s v="PETRILLI" u="1"/>
        <s v="SIMOES" u="1"/>
        <s v="LEOST" u="1"/>
        <s v="LOPES" u="1"/>
        <s v="BAC" u="1"/>
        <s v="FABRY" u="1"/>
        <s v="PROVENDIER" u="1"/>
        <s v="VLASOV" u="1"/>
        <s v="BRAY" u="1"/>
        <s v="PESLIN" u="1"/>
        <s v="HODIN" u="1"/>
        <s v="SO" u="1"/>
        <s v="TRISTANI" u="1"/>
        <s v="FAGLA MEDEGAN" u="1"/>
        <s v="MACK DAURELLE" u="1"/>
        <s v="HABRAN" u="1"/>
        <s v="VILLENEUVE" u="1"/>
        <s v="CHENU" u="1"/>
        <s v="PISKOR" u="1"/>
        <s v="FRIOT" u="1"/>
        <s v="BELLARDANT" u="1"/>
        <s v="ROGER" u="1"/>
        <s v="NIVOIT" u="1"/>
        <s v="PERNEL" u="1"/>
        <s v="COCUET" u="1"/>
        <s v="GAYDU" u="1"/>
        <s v="LEHMANN" u="1"/>
        <s v="RAPICAULT" u="1"/>
        <s v="BIANCHI" u="1"/>
        <s v="DAVEAU" u="1"/>
        <s v="LECLERT" u="1"/>
        <s v="CLERO" u="1"/>
        <s v="DI MINO" u="1"/>
        <s v="MOREAU" u="1"/>
        <s v="DUFRANE" u="1"/>
        <s v="GERMAIN" u="1"/>
        <s v="GOUPIL" u="1"/>
        <s v="MOUSTAHZI" u="1"/>
        <s v="GAUDEZ" u="1"/>
        <s v="BRETHEREAU" u="1"/>
        <s v="LUANGPRASEUTH" u="1"/>
        <s v="JULITTE" u="1"/>
        <s v="BRUNET" u="1"/>
        <s v="MAROIS" u="1"/>
        <s v="ALLIOT" u="1"/>
        <s v="GUIGNAT" u="1"/>
        <s v="BATISTA" u="1"/>
        <s v="FAUQUEMONT" u="1"/>
        <s v="NEUMANN" u="1"/>
        <s v="TRAN BINH" u="1"/>
        <s v="QIAN" u="1"/>
        <s v="MERLE" u="1"/>
        <s v="JACQUELIN" u="1"/>
        <s v="GALUSZKA" u="1"/>
        <s v="BARADUC" u="1"/>
        <s v="KERDRAON" u="1"/>
        <s v="SALESSE" u="1"/>
        <s v="VERARDI" u="1"/>
        <s v="DAMANDE LEPINAY" u="1"/>
        <s v="LEO" u="1"/>
        <s v="MONTY" u="1"/>
        <s v="GIROD" u="1"/>
        <s v="DACHICOURT" u="1"/>
        <s v="PAQUEREAU" u="1"/>
        <s v="AZIM" u="1"/>
        <s v="BOEHRER" u="1"/>
        <s v="ETIENNE" u="1"/>
        <s v="DE SARS" u="1"/>
        <s v="ANTOINE-JOURDAN" u="1"/>
        <s v="EISENBARTH" u="1"/>
        <s v="SRIDI" u="1"/>
        <s v="LANQUETIN" u="1"/>
        <s v="DORGET" u="1"/>
        <s v="PATYK" u="1"/>
        <s v="CAILLON" u="1"/>
        <s v="DJEBBARI" u="1"/>
        <s v="SZALAWA" u="1"/>
        <s v="GRUAU" u="1"/>
        <s v="BERKACHI" u="1"/>
        <s v="MARCUZZI" u="1"/>
        <s v="LHERMITTE" u="1"/>
        <s v="LARSONNEUR" u="1"/>
        <s v="THEVENIN" u="1"/>
        <s v="MARIN" u="1"/>
        <s v="PEBEYRE" u="1"/>
        <s v="PAREAU" u="1"/>
        <s v="VILLERMIN" u="1"/>
        <s v="CAPPE" u="1"/>
        <s v="DE BECKER" u="1"/>
        <s v="DOMAGALSKI" u="1"/>
        <s v="MIRANDA-ETANCELIN" u="1"/>
        <s v="MONIN BAROILLE" u="1"/>
        <s v="TARRAL" u="1"/>
        <s v="AUTIER" u="1"/>
        <s v="TANG VERNET" u="1"/>
        <s v="BANC" u="1"/>
        <s v="GAFFET" u="1"/>
        <s v="VIEZ ROSSIGNOL" u="1"/>
        <s v="GOUTHIERE" u="1"/>
        <s v="KERGOET" u="1"/>
        <s v="FOGHA TATSAMBON" u="1"/>
        <s v="WALLE" u="1"/>
        <s v="BOULLET" u="1"/>
        <s v="CASAERT" u="1"/>
        <s v="GOSSET SEQUERA" u="1"/>
        <s v="GUILLET" u="1"/>
        <s v="LAMOURETTE" u="1"/>
        <s v="CHEMIN" u="1"/>
        <s v="FREDERIC" u="1"/>
        <s v="LAOUET" u="1"/>
        <s v="FERRANT" u="1"/>
        <s v="DEVEMY" u="1"/>
        <s v="LEPAGE" u="1"/>
        <s v="PLACET RAMOS" u="1"/>
        <s v="HURE" u="1"/>
        <s v="LEROUX" u="1"/>
        <s v="CAPLIEZ" u="1"/>
        <s v="DREUILLAUD" u="1"/>
        <s v="ANDRES" u="1"/>
        <s v="LE RUYET" u="1"/>
        <s v="COEZY" u="1"/>
        <s v="FILLOLS" u="1"/>
        <s v="LACHAUMETTE" u="1"/>
        <s v="PHILIPPOPOULOS" u="1"/>
        <s v="MARECHAL" u="1"/>
        <s v="MARSAC" u="1"/>
        <s v="NIJAKI" u="1"/>
        <s v="GUILLAY" u="1"/>
        <s v="FANTIN" u="1"/>
        <s v="PERRIN" u="1"/>
        <s v="LONGUET" u="1"/>
        <s v="BISSON" u="1"/>
        <s v="MILLIER" u="1"/>
        <s v="VAILLANT" u="1"/>
        <s v="THIERCELIN" u="1"/>
        <s v="FLUTEAUX" u="1"/>
        <s v="GUERDAD" u="1"/>
        <s v="RANAIVOSOM" u="1"/>
        <s v="BEN TOLILA" u="1"/>
        <s v="UNEAU" u="1"/>
        <s v="JOSSE" u="1"/>
        <s v="HAESTIER" u="1"/>
        <s v="LYNCH" u="1"/>
        <s v="BONNEFOY" u="1"/>
        <s v="LECUYER" u="1"/>
        <s v="POMMIER" u="1"/>
        <s v="CHAILLE" u="1"/>
        <s v="CARON" u="1"/>
        <s v="TATISCHEFF" u="1"/>
        <s v="VUAROQUEAUX" u="1"/>
        <s v="HANOUN" u="1"/>
        <s v="VAN MEENEN" u="1"/>
        <s v="LUQUOT" u="1"/>
        <s v="KIEU" u="1"/>
        <s v="LATOUR" u="1"/>
        <s v="GRAND" u="1"/>
        <s v="PERREAUT" u="1"/>
        <s v="DECARSIN" u="1"/>
        <s v="FRANCISCO CAMACHO" u="1"/>
        <s v="SANTERRE" u="1"/>
        <s v="DACOSTA" u="1"/>
        <s v="LAPOUYADE" u="1"/>
        <s v="PEYROT" u="1"/>
        <s v="THEBAULT" u="1"/>
        <s v="FAYOLLE" u="1"/>
        <s v="DREUX" u="1"/>
        <s v="NGUYEN THI" u="1"/>
        <s v="CHANDELIER" u="1"/>
        <s v="PIORKOWSKI" u="1"/>
        <s v="MUSY-MIGLIORATI" u="1"/>
        <s v="JOLIVET" u="1"/>
        <s v="DE OLIVEIRA" u="1"/>
        <s v="BOURGES" u="1"/>
        <s v="LETANG" u="1"/>
        <s v="KICHENAMA" u="1"/>
        <s v="DEBAN" u="1"/>
        <s v="BOUREAU" u="1"/>
        <s v="LISIAK" u="1"/>
        <s v="QUONIAM" u="1"/>
        <s v="REMOND" u="1"/>
        <s v="THOMINET" u="1"/>
        <s v="HAMAMA" u="1"/>
        <s v="DELMAS" u="1"/>
        <s v="RONCA TARON" u="1"/>
        <s v="TASSIN" u="1"/>
        <s v="MICHEL" u="1"/>
        <s v="LANDRY" u="1"/>
        <s v="SILLIAU" u="1"/>
        <s v="MULARD" u="1"/>
        <s v="TOUCHARD" u="1"/>
        <s v="ORANGE" u="1"/>
        <s v="HUYGHE" u="1"/>
        <s v="JOUANNE" u="1"/>
        <s v="PERRON" u="1"/>
        <s v="GIRARD" u="1"/>
        <s v="DANIGO" u="1"/>
        <s v="BOUNOUAR" u="1"/>
        <s v="DEVIENNE" u="1"/>
        <s v="HUOI" u="1"/>
        <s v="IVANCIU" u="1"/>
        <s v="GORDINHO POUEY MOUNOU" u="1"/>
        <s v="GRALL" u="1"/>
        <s v="VIAULT" u="1"/>
        <s v="DIMASSI" u="1"/>
        <s v="POLONIA" u="1"/>
        <s v="ENCELLAZ" u="1"/>
        <s v="CACCIATORE" u="1"/>
        <s v="LEQUERE" u="1"/>
        <s v="PHAN" u="1"/>
        <s v="DESMOULINS" u="1"/>
        <s v="LAIFA" u="1"/>
        <s v="CHAUVIN" u="1"/>
        <s v="MOLLATTE" u="1"/>
        <s v="ALFRED" u="1"/>
        <s v="MULOT" u="1"/>
        <s v="LALAOUI" u="1"/>
        <s v="RAOULT" u="1"/>
        <s v="ROSENGARD" u="1"/>
        <s v="MOLINARI" u="1"/>
        <s v="PAYET-REGRIN" u="1"/>
        <s v="BERCHEL" u="1"/>
        <s v="LACAM" u="1"/>
        <s v="BLONDEL" u="1"/>
        <s v="DESMETTRE" u="1"/>
        <s v="LELLOUCHE" u="1"/>
        <s v="BONIFACE" u="1"/>
        <s v="ROBERT" u="1"/>
        <s v="PINCHON" u="1"/>
        <s v="MADIESSE" u="1"/>
        <s v="BARBIER" u="1"/>
        <s v="RAVE" u="1"/>
        <s v="DELAR" u="1"/>
        <s v="GOBILLOT" u="1"/>
        <s v="JALLERAT" u="1"/>
        <s v="GIRAUD" u="1"/>
        <s v="RICADAT" u="1"/>
        <s v="CHAINEAU-KECLARD" u="1"/>
        <s v="PELJAK" u="1"/>
        <s v="MAUPIED" u="1"/>
        <s v="NESCI" u="1"/>
        <s v="LAUNAY" u="1"/>
        <s v="SANTOS" u="1"/>
        <s v="POLLET" u="1"/>
        <s v="SAUNIER" u="1"/>
        <s v="FISCHER" u="1"/>
        <s v="DAUGE" u="1"/>
        <s v="ANSOLA" u="1"/>
        <s v="GABRIEL" u="1"/>
        <s v="SAUVAUT" u="1"/>
        <s v="BERZANE" u="1"/>
        <s v="BOULIN" u="1"/>
        <s v="BAILLY" u="1"/>
        <s v="REZANA" u="1"/>
        <s v="BROCHE" u="1"/>
        <s v="GUIGNARD" u="1"/>
        <s v="DIEULLE" u="1"/>
        <s v="WONG" u="1"/>
        <s v="LE GUILLOU-KOHILI" u="1"/>
        <s v="DEMONGEOT" u="1"/>
        <s v="HERODY" u="1"/>
        <s v="FOLTIER" u="1"/>
        <s v="MAISONNIER" u="1"/>
        <s v="GAVAUD" u="1"/>
        <s v="TERENTIEFF" u="1"/>
        <s v="CAUSSE" u="1"/>
        <s v="DI MAURO" u="1"/>
        <s v="LHOMME" u="1"/>
        <s v="BOYAULT" u="1"/>
        <s v="CHANTOME" u="1"/>
        <s v="BOURIANNE" u="1"/>
        <s v="DUCLOS" u="1"/>
        <s v="GIRARDIN" u="1"/>
        <s v="CHEVALIER" u="1"/>
        <s v="ORER" u="1"/>
        <s v="CHAPUT" u="1"/>
        <s v="SORENSEN" u="1"/>
        <s v="BAUTRAIT" u="1"/>
        <s v="SCHULZE" u="1"/>
        <s v="SALEMBIEN" u="1"/>
        <s v="BERGANDY" u="1"/>
        <s v="GUENARD" u="1"/>
        <s v="VIARD-LABBE" u="1"/>
        <s v="MUNOZ" u="1"/>
        <s v="QUIROGA" u="1"/>
        <s v="OMNÈS MAISONS" u="1"/>
        <s v="MERY" u="1"/>
        <s v="BELLAKHDAR" u="1"/>
        <s v="BEAULANDE" u="1"/>
        <s v="HEURTAUT" u="1"/>
        <s v="DA SILVA" u="1"/>
        <s v="BONNIN" u="1"/>
        <s v="MICHON" u="1"/>
        <s v="GRANIER" u="1"/>
        <s v="JACQUINOT-FONSECA" u="1"/>
        <s v="BAROUDI" u="1"/>
        <s v="GALLARD" u="1"/>
        <s v="CHAVANON" u="1"/>
        <s v="BILOGO" u="1"/>
        <s v="DELILE" u="1"/>
        <s v="GUITTON" u="1"/>
        <s v="BARNAUD" u="1"/>
        <s v="BOURGEOIS" u="1"/>
        <s v="DA COSTA" u="1"/>
        <s v="GUIZERIX" u="1"/>
        <s v="MALIFAUD" u="1"/>
      </sharedItems>
    </cacheField>
    <cacheField name="PRENOM" numFmtId="0">
      <sharedItems count="694">
        <s v="Edwin"/>
        <s v="Stephane"/>
        <s v="Dominique"/>
        <s v="Christophe"/>
        <s v="Bour"/>
        <s v="Pratsanee"/>
        <s v="Jean"/>
        <s v="Franck"/>
        <s v="Laurent"/>
        <s v="Florian"/>
        <s v="Katia"/>
        <s v="Nathalie"/>
        <s v="Sejou"/>
        <s v="Amélie"/>
        <s v="Philippe"/>
        <s v="Estelle"/>
        <s v="Nasreddine"/>
        <s v="Paul"/>
        <s v="Olivier"/>
        <s v="Jean-Luc"/>
        <s v="Daniel"/>
        <s v="Eric"/>
        <s v="Raymond"/>
        <s v="Colin"/>
        <s v="Pascale"/>
        <s v="Senthil"/>
        <s v="Benjamin"/>
        <s v="Stefano"/>
        <s v="Aymeric"/>
        <s v="Baptiste"/>
        <s v="Cedric"/>
        <s v="Charlene"/>
        <s v="Emmanuel"/>
        <s v="Romain"/>
        <s v="Prisca"/>
        <s v="Ruben"/>
        <s v="Noemie"/>
        <s v="Sienna"/>
        <s v="Alice"/>
        <s v="Guenael"/>
        <s v="Frederic"/>
        <s v="Jean Claude"/>
        <s v="Patrice"/>
        <s v="Sandrine"/>
        <s v="Didier"/>
        <s v="Hélène"/>
        <s v="José"/>
        <s v="William"/>
        <s v="Alain"/>
        <s v="Charles"/>
        <s v="Christian"/>
        <s v="Manuel"/>
        <s v="Julien"/>
        <s v="Cyril"/>
        <s v="Sébastien"/>
        <s v="Alexandre"/>
        <s v="Marc"/>
        <s v="Ferdinand"/>
        <s v="Armand"/>
        <s v="Fabrice"/>
        <s v="Gabriel"/>
        <s v="Serge"/>
        <s v="Hervé"/>
        <s v="Clement"/>
        <s v="Jean-Claude"/>
        <s v="Aaron"/>
        <s v="Claudine"/>
        <s v="Sylvie"/>
        <s v="Mathieu"/>
        <s v="Diego"/>
        <s v="Enzo"/>
        <s v="Claudia"/>
        <s v="Frédéric"/>
        <s v="Agnes"/>
        <s v="Ysee"/>
        <s v="Cortes"/>
        <s v="Antonin"/>
        <s v="Pascal"/>
        <s v="Adrien"/>
        <s v="Alban"/>
        <s v="Nicolas"/>
        <s v="Bruno"/>
        <s v="Julie"/>
        <s v="Céline"/>
        <s v="Xavier"/>
        <s v="Antoine"/>
        <s v="Natheo"/>
        <s v="Maël"/>
        <s v="Nolan"/>
        <s v="Kylian"/>
        <s v="Vincent"/>
        <s v="Jean Philippe"/>
        <s v="Sandy"/>
        <s v="Nelia"/>
        <s v="Timéo"/>
        <s v="Alex"/>
        <s v="Eva"/>
        <s v="Pierre"/>
        <s v="Anna"/>
        <s v="Liza"/>
        <s v="Clara"/>
        <s v="Jade"/>
        <s v="Stéphane"/>
        <s v="Delancre"/>
        <s v="Thomas"/>
        <s v="Anaïs"/>
        <s v="Pierre-Marie"/>
        <s v="Cédric"/>
        <s v="Emeric"/>
        <s v="Rudolph"/>
        <s v="David"/>
        <s v="Jose"/>
        <s v="Regis"/>
        <s v="Jerome"/>
        <s v="Michel"/>
        <s v="Guillaume"/>
        <s v="Maxime"/>
        <s v="Salvatore"/>
        <s v="Bounmy"/>
        <s v="Lionel"/>
        <s v="Toan"/>
        <s v="Rayan"/>
        <s v="Keylan"/>
        <s v="Emile"/>
        <s v="Ethan"/>
        <s v="René"/>
        <s v="Bastien"/>
        <s v="Louka"/>
        <s v="Sebastien"/>
        <s v="Ludivine"/>
        <s v="Arthur"/>
        <s v="Martin"/>
        <s v="Claire"/>
        <s v="Samuel"/>
        <s v="Aurore"/>
        <s v="Kenza"/>
        <s v="James"/>
        <s v="Anne-Marie"/>
        <s v="Thiméo"/>
        <s v="Kevin"/>
        <s v="Valentin"/>
        <s v="Ny Hasima"/>
        <s v="Sonia"/>
        <s v="Ilyes"/>
        <s v="Mohamed"/>
        <s v="Hugo"/>
        <s v="Dorian"/>
        <s v="Sylvain"/>
        <s v="Téo"/>
        <s v="Lucas"/>
        <s v="Angélique"/>
        <s v="Mathys"/>
        <s v="Mathias"/>
        <s v="Valentina"/>
        <s v="Chrystel"/>
        <s v="Seylan"/>
        <s v="Fabien"/>
        <s v="Noa"/>
        <s v="Alexis"/>
        <s v="Yanis"/>
        <s v="Ranjan"/>
        <s v="Nohlan"/>
        <s v="Edouard"/>
        <s v="Nabil"/>
        <s v="Sacha"/>
        <s v="Swan"/>
        <s v="Yasin"/>
        <s v="Mahe"/>
        <s v="Alméris"/>
        <s v="Celiann"/>
        <s v="Jean-Marie"/>
        <s v="Lise"/>
        <s v="Stevan"/>
        <s v="Lucien"/>
        <s v="Noah"/>
        <s v="Eloi"/>
        <s v="Isbelle"/>
        <s v="Anthony"/>
        <s v="Tiphaine"/>
        <s v="Maxence"/>
        <s v="Fabio"/>
        <s v="Victor"/>
        <s v="Joel"/>
        <s v="Geoffrey"/>
        <s v="Jules"/>
        <s v="Gildas"/>
        <s v="Mélisse"/>
        <s v="Andreï"/>
        <s v="Ionut Cristian"/>
        <s v="Erwin"/>
        <s v="Raphaël"/>
        <s v="Léopold"/>
        <s v="Lilian"/>
        <s v="Nathan"/>
        <s v="Hubert"/>
        <s v="Oceane"/>
        <s v="Herve"/>
        <s v="Emilien"/>
        <s v="Iyed"/>
        <s v="Auxence"/>
        <s v="Michele"/>
        <s v="Caroline"/>
        <s v="Amaury"/>
        <s v="Matteo"/>
        <s v="Faeza"/>
        <s v="Lihaan"/>
        <s v="Elodie"/>
        <s v="Bernard"/>
        <s v="Mattia"/>
        <s v="Lorenzo"/>
        <s v="Juliette"/>
        <s v="Othmane"/>
        <s v="Pierre-Alain"/>
        <s v="Jonathan"/>
        <s v="Leo"/>
        <s v="Liam"/>
        <s v="Gwenaelle"/>
        <s v="Irene"/>
        <s v="Leandre"/>
        <s v="Edna Maria"/>
        <s v="Nolhan"/>
        <s v="Theo"/>
        <s v="Elias"/>
        <s v="Erwan"/>
        <s v="Salmane"/>
        <s v="Zayd"/>
        <s v="Thierry"/>
        <s v="Mélanie"/>
        <s v="Stéphanie"/>
        <s v="Melica"/>
        <s v="Stephen"/>
        <s v="Erwann"/>
        <s v="Mike"/>
        <s v="Cécile"/>
        <s v="Dimitri"/>
        <s v="Duc Nhan"/>
        <s v="Jérôme"/>
        <s v="Laetitia"/>
        <s v="Remi"/>
        <s v="Steeve"/>
        <s v="Richard"/>
        <s v="Lylian"/>
        <s v="Tony"/>
        <s v="Loic"/>
        <s v="Piotr"/>
        <s v="Charline"/>
        <s v="Marco"/>
        <s v="Gerard"/>
        <s v="Murat"/>
        <s v="Emilie"/>
        <s v="Claude"/>
        <s v="Arnaud-Alain"/>
        <s v="Isaac"/>
        <s v="Yacoub"/>
        <s v="Jamal"/>
        <s v="Mohamed Aziz"/>
        <s v="Amir"/>
        <s v="Abdel"/>
        <s v="Imrane"/>
        <s v="Nathael"/>
        <s v="Elise"/>
        <s v="Rémy"/>
        <s v="Matthieu"/>
        <s v="Luca"/>
        <s v="Luc"/>
        <s v="Malo"/>
        <s v="Celian"/>
        <s v="Emmy"/>
        <s v="Clovis"/>
        <s v="Darren"/>
        <s v="Marceau"/>
        <s v="Marius"/>
        <s v="Nathanael"/>
        <s v="Jeremy"/>
        <s v="Amine"/>
        <s v="Constance"/>
        <s v="Maxens"/>
        <s v="Clément"/>
        <s v="Ali"/>
        <s v="Louis"/>
        <s v="Loevan"/>
        <s v="Mael"/>
        <s v="Vanessa"/>
        <s v="Isabelle"/>
        <s v="Duncan"/>
        <s v="Yoan"/>
        <s v="Tom"/>
        <s v="Sabine"/>
        <s v="Samantha"/>
        <s v="Janek"/>
        <s v="Andy"/>
        <s v="Marie Christine"/>
        <s v="Alexandrien"/>
        <s v="Donnatien"/>
        <s v="Maximilien"/>
        <s v="Stephanie"/>
        <s v="Teo"/>
        <s v="Marien"/>
        <s v="Annette"/>
        <s v="Léo"/>
        <s v="Catherine"/>
        <s v="Jean-Yves"/>
        <s v="Leona"/>
        <s v="Severine"/>
        <s v="Ambroise"/>
        <s v="Valerie"/>
        <s v="Melvin"/>
        <s v="Nicole"/>
        <s v="Liahm"/>
        <s v="Tristan"/>
        <s v="Valérie"/>
        <s v="Eliot"/>
        <s v="Stephan"/>
        <s v="Noé"/>
        <s v="Benoit"/>
        <s v="Véronique"/>
        <s v="Yan"/>
        <s v="Corentin"/>
        <s v="Jean-Pierre"/>
        <s v="Patrick"/>
        <s v="Djulian"/>
        <s v="Guilhem"/>
        <s v="Hector"/>
        <s v="Gaetan"/>
        <s v="Lino"/>
        <s v="Sohan"/>
        <s v="Simon"/>
        <s v="Charlie"/>
        <s v="Maya"/>
        <s v="Scarlett"/>
        <s v="Célia"/>
        <s v="Eden"/>
        <s v="Noha"/>
        <s v="Jensen"/>
        <s v="Rubens"/>
        <s v="Lucie"/>
        <s v="Sören"/>
        <s v="Déborah"/>
        <s v="Marion"/>
        <s v="Karine"/>
        <s v="Rémi"/>
        <s v="Helio"/>
        <s v="Mathis"/>
        <s v="Anne"/>
        <s v="Francois"/>
        <s v="Marwen"/>
        <s v="Niels"/>
        <s v="Trisan"/>
        <s v="Adam"/>
        <s v="Florent"/>
        <s v="Evann"/>
        <s v="Malone"/>
        <s v="Claudiu"/>
        <s v="Marjorie"/>
        <s v="Darius"/>
        <s v="Titouan"/>
        <s v="Achille"/>
        <s v="Jean-Louis"/>
        <s v="Hong"/>
        <s v="Zhiyang"/>
        <s v="Elina"/>
        <s v="Noe"/>
        <s v="Gabrielle"/>
        <s v="Kilian"/>
        <s v="Frédérique"/>
        <s v="Etienne"/>
        <s v="Lilou"/>
        <s v="Christine"/>
        <s v="Gael"/>
        <s v="Franco"/>
        <s v="Alois"/>
        <s v="Magali"/>
        <s v="Mathéo"/>
        <s v="Andréa"/>
        <s v="Raphael"/>
        <s v="Alix"/>
        <s v="Loan"/>
        <s v="Brieuc"/>
        <s v="Gérard"/>
        <s v="Nael"/>
        <s v="Camyll"/>
        <s v="Lucyan"/>
        <s v="Camille"/>
        <s v="Marie"/>
        <s v="Mohamad"/>
        <s v="Shalyna"/>
        <s v="Sophie"/>
        <s v="Joël"/>
        <s v="Léandre"/>
        <s v="Adriano"/>
        <s v="Liam-Alféo"/>
        <s v="Chris"/>
        <s v="Joris"/>
        <s v="Eliza"/>
        <s v="Lukas"/>
        <s v="François"/>
        <s v="Charly"/>
        <s v="Heriharijaona"/>
        <s v="Corinne"/>
        <s v="Ladislas"/>
        <s v="Nao"/>
        <s v="Gaspard"/>
        <s v="Francis"/>
        <s v="Elouen"/>
        <s v="Léonie"/>
        <s v="Elliot"/>
        <s v="Elliott"/>
        <s v="Ulysse"/>
        <s v="Eliott"/>
        <s v="Trystan"/>
        <s v="Benoît" u="1"/>
        <s v="Mattéo" u="1"/>
        <s v="Ebenn" u="1"/>
        <s v="Zenglei Pierre" u="1"/>
        <s v="Konstance" u="1"/>
        <s v="Jaden" u="1"/>
        <s v="Bérénice" u="1"/>
        <s v="Paulette" u="1"/>
        <s v="Samy" u="1"/>
        <s v="Allan" u="1"/>
        <s v="Charlotte" u="1"/>
        <s v="Bonamy" u="1"/>
        <s v="Antonio" u="1"/>
        <s v="Jeremie" u="1"/>
        <s v="Jean-Marc" u="1"/>
        <s v="Yves" u="1"/>
        <s v="Guy" u="1"/>
        <s v="Mayeul" u="1"/>
        <s v="Tanguy" u="1"/>
        <s v="Matthew" u="1"/>
        <s v="Elian" u="1"/>
        <s v="Tarek" u="1"/>
        <s v="Arnaud" u="1"/>
        <s v="Ryan" u="1"/>
        <s v="Théo" u="1"/>
        <s v="Lubin" u="1"/>
        <s v="Léa" u="1"/>
        <s v="Timeo" u="1"/>
        <s v="Till" u="1"/>
        <s v="Léandro" u="1"/>
        <s v="Izikel" u="1"/>
        <s v="Heriharijaoma" u="1"/>
        <s v="Dashnor" u="1"/>
        <s v="Monique" u="1"/>
        <s v="Kim" u="1"/>
        <s v="Emma" u="1"/>
        <s v="Kévin" u="1"/>
        <s v="Pierluigi" u="1"/>
        <s v="Dylann" u="1"/>
        <s v="Axel" u="1"/>
        <s v="Zack" u="1"/>
        <s v="Riles" u="1"/>
        <s v="Barbara" u="1"/>
        <s v="Gaëthan" u="1"/>
        <s v="Nino" u="1"/>
        <s v="Elyas" u="1"/>
        <s v="Gwendal" u="1"/>
        <s v="Livio" u="1"/>
        <s v="DENIS" u="1"/>
        <s v="Iyad" u="1"/>
        <s v="Chi An" u="1"/>
        <s v="Alphonse" u="1"/>
        <s v="Mina" u="1"/>
        <s v="Luis" u="1"/>
        <s v="Joé" u="1"/>
        <s v="Pierre-Louis" u="1"/>
        <s v="Bran" u="1"/>
        <s v="Morgan" u="1"/>
        <s v="Doryan" u="1"/>
        <s v="Andry" u="1"/>
        <s v="Louca" u="1"/>
        <s v="Julian" u="1"/>
        <s v="Yuma" u="1"/>
        <s v="Edriss" u="1"/>
        <s v="Felix" u="1"/>
        <s v="Cyriac" u="1"/>
        <s v="Gregory" u="1"/>
        <s v="Laura" u="1"/>
        <s v="Jean Jacques" u="1"/>
        <s v="Matys" u="1"/>
        <s v="Thaïs" u="1"/>
        <s v="Gaetane" u="1"/>
        <s v="Eyvan" u="1"/>
        <s v="Brandon" u="1"/>
        <s v="Swann" u="1"/>
        <s v="Peggy" u="1"/>
        <s v="Alipio" u="1"/>
        <s v="Benedicte" u="1"/>
        <s v="Norah" u="1"/>
        <s v="Aurele" u="1"/>
        <s v="Almeris" u="1"/>
        <s v="Koeurtys" u="1"/>
        <s v="Ilan" u="1"/>
        <s v="Alvin" u="1"/>
        <s v="Eleo" u="1"/>
        <s v="Amédée" u="1"/>
        <s v="Sosthène" u="1"/>
        <s v="Henri" u="1"/>
        <s v="Damien" u="1"/>
        <s v="Grégoire" u="1"/>
        <s v="Jean-Lauris" u="1"/>
        <s v="Johan" u="1"/>
        <s v="Attis" u="1"/>
        <s v="Aurelien" u="1"/>
        <s v="Paloma" u="1"/>
        <s v="Saysana" u="1"/>
        <s v="Marie-Isabelle" u="1"/>
        <s v="Jason" u="1"/>
        <s v="Loïc" u="1"/>
        <s v="Valérian" u="1"/>
        <s v="Noham" u="1"/>
        <s v="Matheo" u="1"/>
        <s v="Gilles" u="1"/>
        <s v="Jacky" u="1"/>
        <s v="Jean Luc" u="1"/>
        <s v="Sarah" u="1"/>
        <s v="Mylene" u="1"/>
        <s v="Shanee" u="1"/>
        <s v="Milan" u="1"/>
        <s v="Shana" u="1"/>
        <s v="SILVANA" u="1"/>
        <s v="Jean Louis" u="1"/>
        <s v="Chloé" u="1"/>
        <s v="Florin" u="1"/>
        <s v="Roman" u="1"/>
        <s v="Timothee" u="1"/>
        <s v="Sabrina" u="1"/>
        <s v="Audrey" u="1"/>
        <s v="Eve Darina" u="1"/>
        <s v="Jérémy" u="1"/>
        <s v="Cassandra" u="1"/>
        <s v="Thimothée" u="1"/>
        <s v="Jean-Michel" u="1"/>
        <s v="Eléo" u="1"/>
        <s v="Macha" u="1"/>
        <s v="Thu" u="1"/>
        <s v="Melanie" u="1"/>
        <s v="Medi" u="1"/>
        <s v="Martine" u="1"/>
        <s v="Sofiane" u="1"/>
        <s v="Leny" u="1"/>
        <s v="Charlène" u="1"/>
        <s v="Jordaniel" u="1"/>
        <s v="Rocco" u="1"/>
        <s v="Marta-Adelina" u="1"/>
        <s v="Mali" u="1"/>
        <s v="Aydin" u="1"/>
        <s v="Jean-Francois" u="1"/>
        <s v="Lenny" u="1"/>
        <s v="Henri-Christ" u="1"/>
        <s v="Bogna" u="1"/>
        <s v="Adrian" u="1"/>
        <s v="Michael" u="1"/>
        <s v="Renaud" u="1"/>
        <s v="Thibaut" u="1"/>
        <s v="Alexandrine" u="1"/>
        <s v="Remy" u="1"/>
        <s v="Noélyne" u="1"/>
        <s v="Sami" u="1"/>
        <s v="Albanne" u="1"/>
        <s v="Aurélien" u="1"/>
        <s v="Bogdan" u="1"/>
        <s v="Carlos" u="1"/>
        <s v="Yolande" u="1"/>
        <s v="Noam" u="1"/>
        <s v="Mewen" u="1"/>
        <s v="Mylène" u="1"/>
        <s v="Séverine" u="1"/>
        <s v="John" u="1"/>
        <s v="Oriane" u="1"/>
        <s v="Abigaël" u="1"/>
        <s v="Erick" u="1"/>
        <s v="Toml" u="1"/>
        <s v="Gwladys" u="1"/>
        <s v="Léon" u="1"/>
        <s v="Noan" u="1"/>
        <s v="Elisabeth" u="1"/>
        <s v="Henry" u="1"/>
        <s v="Cindy" u="1"/>
        <s v="Mickael" u="1"/>
        <s v="Roger" u="1"/>
        <s v="Medine" u="1"/>
        <s v="Aristide" u="1"/>
        <s v="Virgile" u="1"/>
        <s v="Françcois" u="1"/>
        <s v="Imane" u="1"/>
        <s v="Jordan" u="1"/>
        <s v="Jacques" u="1"/>
        <s v="Anael" u="1"/>
        <s v="Ich" u="1"/>
        <s v="Gabin" u="1"/>
        <s v="Aythan" u="1"/>
        <s v="Hassan" u="1"/>
        <s v="Selma" u="1"/>
        <s v="Robin" u="1"/>
        <s v="Alexia" u="1"/>
        <s v="Saym" u="1"/>
        <s v="Yannis" u="1"/>
        <s v="Rodolphe" u="1"/>
        <s v="Driss" u="1"/>
        <s v="Lila" u="1"/>
        <s v="Tae Ho" u="1"/>
        <s v="Françoise" u="1"/>
        <s v="Raynald" u="1"/>
        <s v="Sihang-Antoine" u="1"/>
        <s v="Jérome" u="1"/>
        <s v="Carlo" u="1"/>
        <s v="Tao" u="1"/>
        <s v="Come" u="1"/>
        <s v="Abel" u="1"/>
        <s v="Francine" u="1"/>
        <s v="Pauline" u="1"/>
        <s v="Evan" u="1"/>
        <s v="Yann" u="1"/>
        <s v="Guy Michel" u="1"/>
        <s v="Marcel" u="1"/>
        <s v="Jocelyne" u="1"/>
        <s v="Noémie" u="1"/>
        <s v="Orden" u="1"/>
        <s v="MELODIE" u="1"/>
        <s v="Yannik" u="1"/>
        <s v="Eren" u="1"/>
        <s v="Pierre-Emmanuel" u="1"/>
        <s v="Dylan" u="1"/>
        <s v="Luke" u="1"/>
        <s v="Ducan" u="1"/>
        <s v="Killian" u="1"/>
        <s v="Bilal" u="1"/>
        <s v="Anne-Catherine" u="1"/>
        <s v="Jean Paul" u="1"/>
        <s v="Yseoline" u="1"/>
        <s v="Qeis" u="1"/>
        <s v="Thibault" u="1"/>
        <s v="Giannino" u="1"/>
        <s v="Hong-Kien" u="1"/>
        <s v="Epheolia" u="1"/>
        <s v="Anais" u="1"/>
        <s v="Roland" u="1"/>
        <s v="Florence" u="1"/>
        <s v="Esteban" u="1"/>
        <s v="Muoi Ken" u="1"/>
        <s v="Elouan" u="1"/>
        <s v="Clarisse" u="1"/>
        <s v="Manon" u="1"/>
        <s v="BEL-ANGE" u="1"/>
        <s v="Wassim" u="1"/>
        <s v="Julia" u="1"/>
        <s v="Rene" u="1"/>
        <s v="Aloys" u="1"/>
        <s v="Jean-Luck" u="1"/>
        <s v="Christelle" u="1"/>
        <s v="Andrea" u="1"/>
        <s v="Beatrice" u="1"/>
        <s v="Ilia" u="1"/>
        <s v="Jean-Benoit" u="1"/>
        <s v="Yvon" u="1"/>
        <s v="Robert" u="1"/>
        <s v="Georges" u="1"/>
        <s v="Joey" u="1"/>
        <s v="Jean Pierre" u="1"/>
        <s v="Constant" u="1"/>
        <s v="Yséoline" u="1"/>
        <s v="Oscar" u="1"/>
        <s v="Andre" u="1"/>
        <s v="Helia" u="1"/>
        <s v="Aronn" u="1"/>
        <s v="Maelan" u="1"/>
        <s v="Quentin" u="1"/>
        <s v="Bertrand" u="1"/>
        <s v="Marie Pierre" u="1"/>
        <s v="Brice" u="1"/>
        <s v="Iris" u="1"/>
        <s v="Gary" u="1"/>
        <s v="Mikkel" u="1"/>
        <s v="Yannick" u="1"/>
        <s v="Trang Meng" u="1"/>
        <s v="Tong-Yen" u="1"/>
        <s v="Chris Loris" u="1"/>
        <s v="Virginie" u="1"/>
        <s v="Amandine" u="1"/>
        <s v="Tommy" u="1"/>
        <s v="Meziane" u="1"/>
        <s v="Felicie" u="1"/>
        <s v="Mansour" u="1"/>
        <s v="Brigitte" u="1"/>
        <s v="Océane" u="1"/>
        <s v="Pyel" u="1"/>
        <s v="Cyrille" u="1"/>
        <s v="Mohamed Ali" u="1"/>
        <s v="Nagib" u="1"/>
        <s v="Alyson" u="1"/>
        <s v="Pierre Yves" u="1"/>
        <s v="Gaethan" u="1"/>
        <s v="Veronique" u="1"/>
      </sharedItems>
    </cacheField>
    <cacheField name="Classement" numFmtId="3">
      <sharedItems containsSemiMixedTypes="0" containsString="0" containsNumber="1" containsInteger="1" minValue="500" maxValue="2036"/>
    </cacheField>
    <cacheField name="N° Licence" numFmtId="0">
      <sharedItems containsSemiMixedTypes="0" containsString="0" containsNumber="1" containsInteger="1" minValue="3550024" maxValue="97113273"/>
    </cacheField>
    <cacheField name="Licence ?" numFmtId="3">
      <sharedItems containsBlank="1" count="25">
        <s v="Licence Nok"/>
        <s v="Licence ok"/>
        <m u="1"/>
        <s v="Pas de licence" u="1"/>
        <s v="Pas de licence au 29/09" u="1"/>
        <s v="Pas de licence au 30/10/19" u="1"/>
        <s v="Pas de licence au 25/09/2019" u="1"/>
        <s v="Pas de Licence au 04/01/2023" u="1"/>
        <s v="en attente de licence" u="1"/>
        <s v="Pas de licence au 27/10/21" u="1"/>
        <s v="Pas de licence au 04/10/2023" u="1"/>
        <s v="Pas de licence au 30/10/2024" u="1"/>
        <s v="En attente" u="1"/>
        <s v="Pas de licence au 27/10/23" u="1"/>
        <s v="Pas de licence au 31/12/2021" u="1"/>
        <s v="Pas de licence au 11 02 2022" u="1"/>
        <s v="Pas de licence au 23/09/21" u="1"/>
        <s v="Pas de licence au 04/10/2019" u="1"/>
        <s v="Pas de licence au 19/11/2019" u="1"/>
        <s v="Pas de licence au 30/10/20" u="1"/>
        <s v="Pas de licence au 08/01/2020" u="1"/>
        <s v="Pas de licence au 29/09/2022" u="1"/>
        <s v="Pas de licence au 04/11/2021" u="1"/>
        <s v="Licence jusqu'au 30/09" u="1"/>
        <s v="Pas de licence au 15/10/2022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04">
  <r>
    <x v="0"/>
    <x v="0"/>
    <x v="0"/>
    <x v="0"/>
    <n v="500"/>
    <n v="97101615"/>
    <x v="0"/>
  </r>
  <r>
    <x v="0"/>
    <x v="1"/>
    <x v="1"/>
    <x v="1"/>
    <n v="500"/>
    <n v="51215116"/>
    <x v="1"/>
  </r>
  <r>
    <x v="0"/>
    <x v="2"/>
    <x v="2"/>
    <x v="2"/>
    <n v="682"/>
    <n v="55355024"/>
    <x v="1"/>
  </r>
  <r>
    <x v="0"/>
    <x v="3"/>
    <x v="3"/>
    <x v="3"/>
    <n v="507"/>
    <n v="55363528"/>
    <x v="1"/>
  </r>
  <r>
    <x v="0"/>
    <x v="4"/>
    <x v="4"/>
    <x v="4"/>
    <n v="500"/>
    <n v="97101616"/>
    <x v="0"/>
  </r>
  <r>
    <x v="0"/>
    <x v="5"/>
    <x v="4"/>
    <x v="5"/>
    <n v="500"/>
    <n v="97101617"/>
    <x v="0"/>
  </r>
  <r>
    <x v="0"/>
    <x v="6"/>
    <x v="5"/>
    <x v="6"/>
    <n v="796"/>
    <n v="87410745"/>
    <x v="0"/>
  </r>
  <r>
    <x v="0"/>
    <x v="7"/>
    <x v="6"/>
    <x v="7"/>
    <n v="900"/>
    <n v="87428650"/>
    <x v="1"/>
  </r>
  <r>
    <x v="0"/>
    <x v="8"/>
    <x v="7"/>
    <x v="8"/>
    <n v="894"/>
    <n v="53287422"/>
    <x v="1"/>
  </r>
  <r>
    <x v="0"/>
    <x v="9"/>
    <x v="8"/>
    <x v="9"/>
    <n v="725"/>
    <n v="97092709"/>
    <x v="1"/>
  </r>
  <r>
    <x v="0"/>
    <x v="10"/>
    <x v="9"/>
    <x v="10"/>
    <n v="500"/>
    <n v="97101829"/>
    <x v="0"/>
  </r>
  <r>
    <x v="0"/>
    <x v="11"/>
    <x v="10"/>
    <x v="11"/>
    <n v="639"/>
    <n v="87410004"/>
    <x v="0"/>
  </r>
  <r>
    <x v="0"/>
    <x v="12"/>
    <x v="11"/>
    <x v="3"/>
    <n v="519"/>
    <n v="97101618"/>
    <x v="1"/>
  </r>
  <r>
    <x v="0"/>
    <x v="13"/>
    <x v="12"/>
    <x v="12"/>
    <n v="521"/>
    <n v="97109471"/>
    <x v="1"/>
  </r>
  <r>
    <x v="0"/>
    <x v="14"/>
    <x v="13"/>
    <x v="13"/>
    <n v="500"/>
    <n v="97109246"/>
    <x v="1"/>
  </r>
  <r>
    <x v="0"/>
    <x v="15"/>
    <x v="13"/>
    <x v="14"/>
    <n v="805"/>
    <n v="87446275"/>
    <x v="1"/>
  </r>
  <r>
    <x v="0"/>
    <x v="16"/>
    <x v="14"/>
    <x v="15"/>
    <n v="500"/>
    <n v="97109881"/>
    <x v="1"/>
  </r>
  <r>
    <x v="0"/>
    <x v="17"/>
    <x v="15"/>
    <x v="16"/>
    <n v="554"/>
    <n v="97101561"/>
    <x v="1"/>
  </r>
  <r>
    <x v="0"/>
    <x v="18"/>
    <x v="16"/>
    <x v="17"/>
    <n v="702"/>
    <n v="97091423"/>
    <x v="0"/>
  </r>
  <r>
    <x v="0"/>
    <x v="19"/>
    <x v="17"/>
    <x v="18"/>
    <n v="769"/>
    <n v="87457423"/>
    <x v="0"/>
  </r>
  <r>
    <x v="0"/>
    <x v="20"/>
    <x v="18"/>
    <x v="19"/>
    <n v="649"/>
    <n v="87408548"/>
    <x v="1"/>
  </r>
  <r>
    <x v="0"/>
    <x v="21"/>
    <x v="19"/>
    <x v="20"/>
    <n v="762"/>
    <n v="97107780"/>
    <x v="1"/>
  </r>
  <r>
    <x v="0"/>
    <x v="22"/>
    <x v="20"/>
    <x v="21"/>
    <n v="1159"/>
    <n v="43335236"/>
    <x v="1"/>
  </r>
  <r>
    <x v="0"/>
    <x v="23"/>
    <x v="21"/>
    <x v="22"/>
    <n v="962"/>
    <n v="87465788"/>
    <x v="1"/>
  </r>
  <r>
    <x v="0"/>
    <x v="24"/>
    <x v="22"/>
    <x v="23"/>
    <n v="591"/>
    <n v="97054951"/>
    <x v="1"/>
  </r>
  <r>
    <x v="0"/>
    <x v="25"/>
    <x v="23"/>
    <x v="24"/>
    <n v="500"/>
    <n v="97109472"/>
    <x v="1"/>
  </r>
  <r>
    <x v="0"/>
    <x v="26"/>
    <x v="24"/>
    <x v="21"/>
    <n v="1005"/>
    <n v="97109473"/>
    <x v="1"/>
  </r>
  <r>
    <x v="0"/>
    <x v="27"/>
    <x v="25"/>
    <x v="25"/>
    <n v="1417"/>
    <n v="87421121"/>
    <x v="0"/>
  </r>
  <r>
    <x v="0"/>
    <x v="28"/>
    <x v="26"/>
    <x v="20"/>
    <n v="574"/>
    <n v="97101619"/>
    <x v="1"/>
  </r>
  <r>
    <x v="0"/>
    <x v="29"/>
    <x v="27"/>
    <x v="26"/>
    <n v="500"/>
    <n v="97109930"/>
    <x v="1"/>
  </r>
  <r>
    <x v="0"/>
    <x v="30"/>
    <x v="28"/>
    <x v="27"/>
    <n v="500"/>
    <n v="97109474"/>
    <x v="1"/>
  </r>
  <r>
    <x v="1"/>
    <x v="0"/>
    <x v="29"/>
    <x v="2"/>
    <n v="914"/>
    <n v="87416310"/>
    <x v="0"/>
  </r>
  <r>
    <x v="1"/>
    <x v="1"/>
    <x v="30"/>
    <x v="28"/>
    <n v="1019"/>
    <n v="87426443"/>
    <x v="1"/>
  </r>
  <r>
    <x v="1"/>
    <x v="2"/>
    <x v="31"/>
    <x v="29"/>
    <n v="927"/>
    <n v="87461762"/>
    <x v="1"/>
  </r>
  <r>
    <x v="1"/>
    <x v="3"/>
    <x v="31"/>
    <x v="30"/>
    <n v="1059"/>
    <n v="87459666"/>
    <x v="1"/>
  </r>
  <r>
    <x v="1"/>
    <x v="4"/>
    <x v="31"/>
    <x v="31"/>
    <n v="598"/>
    <n v="97065869"/>
    <x v="1"/>
  </r>
  <r>
    <x v="1"/>
    <x v="5"/>
    <x v="32"/>
    <x v="32"/>
    <n v="500"/>
    <n v="97089149"/>
    <x v="1"/>
  </r>
  <r>
    <x v="1"/>
    <x v="6"/>
    <x v="32"/>
    <x v="33"/>
    <n v="726"/>
    <n v="97101836"/>
    <x v="1"/>
  </r>
  <r>
    <x v="1"/>
    <x v="7"/>
    <x v="33"/>
    <x v="34"/>
    <n v="500"/>
    <n v="97107948"/>
    <x v="0"/>
  </r>
  <r>
    <x v="1"/>
    <x v="8"/>
    <x v="34"/>
    <x v="35"/>
    <n v="500"/>
    <n v="87431551"/>
    <x v="0"/>
  </r>
  <r>
    <x v="1"/>
    <x v="9"/>
    <x v="35"/>
    <x v="36"/>
    <n v="573"/>
    <n v="87428733"/>
    <x v="1"/>
  </r>
  <r>
    <x v="1"/>
    <x v="10"/>
    <x v="35"/>
    <x v="37"/>
    <n v="745"/>
    <n v="87446580"/>
    <x v="1"/>
  </r>
  <r>
    <x v="1"/>
    <x v="11"/>
    <x v="36"/>
    <x v="3"/>
    <n v="500"/>
    <n v="55353199"/>
    <x v="1"/>
  </r>
  <r>
    <x v="1"/>
    <x v="12"/>
    <x v="37"/>
    <x v="38"/>
    <n v="598"/>
    <n v="87425102"/>
    <x v="1"/>
  </r>
  <r>
    <x v="1"/>
    <x v="13"/>
    <x v="38"/>
    <x v="39"/>
    <n v="904"/>
    <n v="87425104"/>
    <x v="1"/>
  </r>
  <r>
    <x v="1"/>
    <x v="14"/>
    <x v="39"/>
    <x v="9"/>
    <n v="711"/>
    <n v="87446734"/>
    <x v="1"/>
  </r>
  <r>
    <x v="1"/>
    <x v="15"/>
    <x v="39"/>
    <x v="14"/>
    <n v="754"/>
    <n v="55332288"/>
    <x v="1"/>
  </r>
  <r>
    <x v="1"/>
    <x v="16"/>
    <x v="40"/>
    <x v="40"/>
    <n v="500"/>
    <n v="55342603"/>
    <x v="1"/>
  </r>
  <r>
    <x v="1"/>
    <x v="17"/>
    <x v="41"/>
    <x v="41"/>
    <n v="1202"/>
    <n v="87446312"/>
    <x v="1"/>
  </r>
  <r>
    <x v="1"/>
    <x v="18"/>
    <x v="42"/>
    <x v="21"/>
    <n v="1412"/>
    <n v="55330261"/>
    <x v="1"/>
  </r>
  <r>
    <x v="1"/>
    <x v="19"/>
    <x v="43"/>
    <x v="42"/>
    <n v="569"/>
    <n v="97088357"/>
    <x v="1"/>
  </r>
  <r>
    <x v="1"/>
    <x v="20"/>
    <x v="44"/>
    <x v="43"/>
    <n v="500"/>
    <n v="97109672"/>
    <x v="1"/>
  </r>
  <r>
    <x v="1"/>
    <x v="21"/>
    <x v="45"/>
    <x v="44"/>
    <n v="809"/>
    <n v="20329868"/>
    <x v="1"/>
  </r>
  <r>
    <x v="1"/>
    <x v="22"/>
    <x v="46"/>
    <x v="45"/>
    <n v="500"/>
    <n v="97109927"/>
    <x v="1"/>
  </r>
  <r>
    <x v="1"/>
    <x v="23"/>
    <x v="46"/>
    <x v="46"/>
    <n v="672"/>
    <n v="87421590"/>
    <x v="1"/>
  </r>
  <r>
    <x v="1"/>
    <x v="24"/>
    <x v="46"/>
    <x v="47"/>
    <n v="500"/>
    <n v="87425103"/>
    <x v="1"/>
  </r>
  <r>
    <x v="1"/>
    <x v="25"/>
    <x v="47"/>
    <x v="48"/>
    <n v="500"/>
    <n v="97092003"/>
    <x v="1"/>
  </r>
  <r>
    <x v="1"/>
    <x v="26"/>
    <x v="48"/>
    <x v="49"/>
    <n v="500"/>
    <n v="97069246"/>
    <x v="1"/>
  </r>
  <r>
    <x v="1"/>
    <x v="27"/>
    <x v="49"/>
    <x v="50"/>
    <n v="500"/>
    <n v="55329437"/>
    <x v="1"/>
  </r>
  <r>
    <x v="2"/>
    <x v="0"/>
    <x v="50"/>
    <x v="51"/>
    <n v="651"/>
    <n v="87412028"/>
    <x v="1"/>
  </r>
  <r>
    <x v="2"/>
    <x v="1"/>
    <x v="51"/>
    <x v="52"/>
    <n v="500"/>
    <n v="97107858"/>
    <x v="0"/>
  </r>
  <r>
    <x v="2"/>
    <x v="2"/>
    <x v="52"/>
    <x v="53"/>
    <n v="755"/>
    <n v="55322736"/>
    <x v="1"/>
  </r>
  <r>
    <x v="2"/>
    <x v="3"/>
    <x v="53"/>
    <x v="54"/>
    <n v="500"/>
    <n v="97109379"/>
    <x v="1"/>
  </r>
  <r>
    <x v="2"/>
    <x v="4"/>
    <x v="54"/>
    <x v="55"/>
    <n v="500"/>
    <n v="97107859"/>
    <x v="0"/>
  </r>
  <r>
    <x v="2"/>
    <x v="5"/>
    <x v="55"/>
    <x v="56"/>
    <n v="726"/>
    <n v="87425147"/>
    <x v="1"/>
  </r>
  <r>
    <x v="2"/>
    <x v="6"/>
    <x v="56"/>
    <x v="30"/>
    <n v="500"/>
    <n v="97107860"/>
    <x v="0"/>
  </r>
  <r>
    <x v="2"/>
    <x v="7"/>
    <x v="57"/>
    <x v="57"/>
    <n v="711"/>
    <n v="55358118"/>
    <x v="1"/>
  </r>
  <r>
    <x v="2"/>
    <x v="8"/>
    <x v="58"/>
    <x v="58"/>
    <n v="990"/>
    <n v="55352091"/>
    <x v="1"/>
  </r>
  <r>
    <x v="2"/>
    <x v="9"/>
    <x v="59"/>
    <x v="8"/>
    <n v="844"/>
    <n v="55354871"/>
    <x v="1"/>
  </r>
  <r>
    <x v="3"/>
    <x v="0"/>
    <x v="60"/>
    <x v="59"/>
    <n v="561"/>
    <n v="87421142"/>
    <x v="1"/>
  </r>
  <r>
    <x v="3"/>
    <x v="1"/>
    <x v="61"/>
    <x v="60"/>
    <n v="593"/>
    <n v="97102272"/>
    <x v="1"/>
  </r>
  <r>
    <x v="3"/>
    <x v="2"/>
    <x v="62"/>
    <x v="61"/>
    <n v="503"/>
    <n v="97101833"/>
    <x v="1"/>
  </r>
  <r>
    <x v="3"/>
    <x v="3"/>
    <x v="63"/>
    <x v="44"/>
    <n v="538"/>
    <n v="55359639"/>
    <x v="1"/>
  </r>
  <r>
    <x v="3"/>
    <x v="4"/>
    <x v="64"/>
    <x v="62"/>
    <n v="1267"/>
    <n v="97054765"/>
    <x v="0"/>
  </r>
  <r>
    <x v="3"/>
    <x v="5"/>
    <x v="65"/>
    <x v="63"/>
    <n v="579"/>
    <n v="97092939"/>
    <x v="1"/>
  </r>
  <r>
    <x v="3"/>
    <x v="6"/>
    <x v="66"/>
    <x v="64"/>
    <n v="500"/>
    <n v="97110711"/>
    <x v="1"/>
  </r>
  <r>
    <x v="3"/>
    <x v="7"/>
    <x v="66"/>
    <x v="54"/>
    <n v="623"/>
    <n v="97101834"/>
    <x v="1"/>
  </r>
  <r>
    <x v="3"/>
    <x v="8"/>
    <x v="67"/>
    <x v="65"/>
    <n v="500"/>
    <n v="97092941"/>
    <x v="1"/>
  </r>
  <r>
    <x v="3"/>
    <x v="9"/>
    <x v="68"/>
    <x v="66"/>
    <n v="500"/>
    <n v="97090269"/>
    <x v="0"/>
  </r>
  <r>
    <x v="3"/>
    <x v="10"/>
    <x v="68"/>
    <x v="67"/>
    <n v="616"/>
    <n v="97079234"/>
    <x v="0"/>
  </r>
  <r>
    <x v="3"/>
    <x v="11"/>
    <x v="69"/>
    <x v="68"/>
    <n v="590"/>
    <n v="47346235"/>
    <x v="1"/>
  </r>
  <r>
    <x v="3"/>
    <x v="12"/>
    <x v="70"/>
    <x v="69"/>
    <n v="685"/>
    <n v="97092942"/>
    <x v="0"/>
  </r>
  <r>
    <x v="3"/>
    <x v="13"/>
    <x v="70"/>
    <x v="70"/>
    <n v="513"/>
    <n v="97092943"/>
    <x v="0"/>
  </r>
  <r>
    <x v="3"/>
    <x v="14"/>
    <x v="41"/>
    <x v="71"/>
    <n v="708"/>
    <n v="97101835"/>
    <x v="1"/>
  </r>
  <r>
    <x v="3"/>
    <x v="15"/>
    <x v="71"/>
    <x v="6"/>
    <n v="721"/>
    <n v="87464575"/>
    <x v="1"/>
  </r>
  <r>
    <x v="3"/>
    <x v="16"/>
    <x v="72"/>
    <x v="72"/>
    <n v="2036"/>
    <n v="97075229"/>
    <x v="1"/>
  </r>
  <r>
    <x v="3"/>
    <x v="17"/>
    <x v="73"/>
    <x v="73"/>
    <n v="679"/>
    <n v="3551950"/>
    <x v="1"/>
  </r>
  <r>
    <x v="3"/>
    <x v="18"/>
    <x v="73"/>
    <x v="74"/>
    <n v="502"/>
    <n v="87465761"/>
    <x v="0"/>
  </r>
  <r>
    <x v="4"/>
    <x v="0"/>
    <x v="74"/>
    <x v="75"/>
    <n v="500"/>
    <n v="97103347"/>
    <x v="1"/>
  </r>
  <r>
    <x v="4"/>
    <x v="1"/>
    <x v="75"/>
    <x v="76"/>
    <n v="611"/>
    <n v="97108942"/>
    <x v="1"/>
  </r>
  <r>
    <x v="4"/>
    <x v="2"/>
    <x v="76"/>
    <x v="77"/>
    <n v="500"/>
    <n v="87416100"/>
    <x v="0"/>
  </r>
  <r>
    <x v="4"/>
    <x v="3"/>
    <x v="77"/>
    <x v="77"/>
    <n v="1190"/>
    <n v="55319253"/>
    <x v="1"/>
  </r>
  <r>
    <x v="4"/>
    <x v="4"/>
    <x v="78"/>
    <x v="78"/>
    <n v="500"/>
    <n v="97109935"/>
    <x v="1"/>
  </r>
  <r>
    <x v="4"/>
    <x v="5"/>
    <x v="78"/>
    <x v="55"/>
    <n v="500"/>
    <n v="97109936"/>
    <x v="1"/>
  </r>
  <r>
    <x v="4"/>
    <x v="6"/>
    <x v="79"/>
    <x v="47"/>
    <n v="500"/>
    <n v="87459749"/>
    <x v="1"/>
  </r>
  <r>
    <x v="4"/>
    <x v="7"/>
    <x v="80"/>
    <x v="79"/>
    <n v="500"/>
    <n v="87451395"/>
    <x v="0"/>
  </r>
  <r>
    <x v="4"/>
    <x v="8"/>
    <x v="81"/>
    <x v="80"/>
    <n v="865"/>
    <n v="87440033"/>
    <x v="1"/>
  </r>
  <r>
    <x v="4"/>
    <x v="9"/>
    <x v="82"/>
    <x v="81"/>
    <n v="500"/>
    <n v="87465273"/>
    <x v="1"/>
  </r>
  <r>
    <x v="4"/>
    <x v="10"/>
    <x v="82"/>
    <x v="82"/>
    <n v="500"/>
    <n v="87465272"/>
    <x v="0"/>
  </r>
  <r>
    <x v="4"/>
    <x v="11"/>
    <x v="83"/>
    <x v="83"/>
    <n v="500"/>
    <n v="97075812"/>
    <x v="1"/>
  </r>
  <r>
    <x v="4"/>
    <x v="12"/>
    <x v="83"/>
    <x v="84"/>
    <n v="799"/>
    <n v="55355078"/>
    <x v="1"/>
  </r>
  <r>
    <x v="4"/>
    <x v="13"/>
    <x v="84"/>
    <x v="85"/>
    <n v="500"/>
    <n v="97057997"/>
    <x v="0"/>
  </r>
  <r>
    <x v="4"/>
    <x v="14"/>
    <x v="85"/>
    <x v="86"/>
    <n v="500"/>
    <n v="97103348"/>
    <x v="0"/>
  </r>
  <r>
    <x v="4"/>
    <x v="15"/>
    <x v="86"/>
    <x v="87"/>
    <n v="500"/>
    <n v="87459751"/>
    <x v="1"/>
  </r>
  <r>
    <x v="4"/>
    <x v="16"/>
    <x v="86"/>
    <x v="88"/>
    <n v="500"/>
    <n v="87436224"/>
    <x v="1"/>
  </r>
  <r>
    <x v="4"/>
    <x v="17"/>
    <x v="87"/>
    <x v="56"/>
    <n v="500"/>
    <n v="55363525"/>
    <x v="1"/>
  </r>
  <r>
    <x v="4"/>
    <x v="18"/>
    <x v="88"/>
    <x v="89"/>
    <n v="500"/>
    <n v="97062118"/>
    <x v="0"/>
  </r>
  <r>
    <x v="4"/>
    <x v="19"/>
    <x v="89"/>
    <x v="64"/>
    <n v="500"/>
    <n v="87447016"/>
    <x v="0"/>
  </r>
  <r>
    <x v="4"/>
    <x v="20"/>
    <x v="90"/>
    <x v="90"/>
    <n v="500"/>
    <n v="97083507"/>
    <x v="0"/>
  </r>
  <r>
    <x v="4"/>
    <x v="21"/>
    <x v="91"/>
    <x v="91"/>
    <n v="753"/>
    <n v="55340866"/>
    <x v="1"/>
  </r>
  <r>
    <x v="4"/>
    <x v="22"/>
    <x v="92"/>
    <x v="33"/>
    <n v="500"/>
    <n v="97103346"/>
    <x v="0"/>
  </r>
  <r>
    <x v="4"/>
    <x v="23"/>
    <x v="93"/>
    <x v="80"/>
    <n v="500"/>
    <n v="97104726"/>
    <x v="0"/>
  </r>
  <r>
    <x v="4"/>
    <x v="24"/>
    <x v="94"/>
    <x v="92"/>
    <n v="500"/>
    <n v="97083508"/>
    <x v="0"/>
  </r>
  <r>
    <x v="4"/>
    <x v="25"/>
    <x v="95"/>
    <x v="93"/>
    <n v="500"/>
    <n v="87470819"/>
    <x v="1"/>
  </r>
  <r>
    <x v="4"/>
    <x v="26"/>
    <x v="95"/>
    <x v="94"/>
    <n v="500"/>
    <n v="97062124"/>
    <x v="1"/>
  </r>
  <r>
    <x v="4"/>
    <x v="27"/>
    <x v="96"/>
    <x v="95"/>
    <n v="500"/>
    <n v="87408524"/>
    <x v="0"/>
  </r>
  <r>
    <x v="4"/>
    <x v="28"/>
    <x v="97"/>
    <x v="96"/>
    <n v="500"/>
    <n v="97104727"/>
    <x v="0"/>
  </r>
  <r>
    <x v="4"/>
    <x v="29"/>
    <x v="98"/>
    <x v="62"/>
    <n v="827"/>
    <n v="55338535"/>
    <x v="1"/>
  </r>
  <r>
    <x v="4"/>
    <x v="30"/>
    <x v="98"/>
    <x v="97"/>
    <n v="570"/>
    <n v="55338536"/>
    <x v="1"/>
  </r>
  <r>
    <x v="4"/>
    <x v="31"/>
    <x v="99"/>
    <x v="98"/>
    <n v="500"/>
    <n v="97104728"/>
    <x v="0"/>
  </r>
  <r>
    <x v="4"/>
    <x v="32"/>
    <x v="99"/>
    <x v="99"/>
    <n v="500"/>
    <n v="97104729"/>
    <x v="0"/>
  </r>
  <r>
    <x v="4"/>
    <x v="33"/>
    <x v="100"/>
    <x v="100"/>
    <n v="500"/>
    <n v="87428921"/>
    <x v="1"/>
  </r>
  <r>
    <x v="4"/>
    <x v="34"/>
    <x v="100"/>
    <x v="101"/>
    <n v="500"/>
    <n v="87459697"/>
    <x v="1"/>
  </r>
  <r>
    <x v="4"/>
    <x v="35"/>
    <x v="100"/>
    <x v="102"/>
    <n v="500"/>
    <n v="97075944"/>
    <x v="1"/>
  </r>
  <r>
    <x v="4"/>
    <x v="36"/>
    <x v="101"/>
    <x v="103"/>
    <n v="500"/>
    <n v="97103349"/>
    <x v="0"/>
  </r>
  <r>
    <x v="4"/>
    <x v="37"/>
    <x v="102"/>
    <x v="104"/>
    <n v="570"/>
    <n v="55333841"/>
    <x v="1"/>
  </r>
  <r>
    <x v="4"/>
    <x v="38"/>
    <x v="103"/>
    <x v="105"/>
    <n v="500"/>
    <n v="97109937"/>
    <x v="1"/>
  </r>
  <r>
    <x v="4"/>
    <x v="39"/>
    <x v="103"/>
    <x v="106"/>
    <n v="500"/>
    <n v="97109938"/>
    <x v="1"/>
  </r>
  <r>
    <x v="5"/>
    <x v="0"/>
    <x v="104"/>
    <x v="107"/>
    <n v="572"/>
    <n v="51214695"/>
    <x v="1"/>
  </r>
  <r>
    <x v="5"/>
    <x v="1"/>
    <x v="105"/>
    <x v="108"/>
    <n v="1046"/>
    <n v="55329240"/>
    <x v="1"/>
  </r>
  <r>
    <x v="5"/>
    <x v="2"/>
    <x v="106"/>
    <x v="109"/>
    <n v="1077"/>
    <n v="97101825"/>
    <x v="1"/>
  </r>
  <r>
    <x v="5"/>
    <x v="3"/>
    <x v="107"/>
    <x v="8"/>
    <n v="734"/>
    <n v="97083186"/>
    <x v="1"/>
  </r>
  <r>
    <x v="5"/>
    <x v="4"/>
    <x v="108"/>
    <x v="62"/>
    <n v="500"/>
    <n v="97101826"/>
    <x v="0"/>
  </r>
  <r>
    <x v="5"/>
    <x v="5"/>
    <x v="108"/>
    <x v="80"/>
    <n v="500"/>
    <n v="97101827"/>
    <x v="0"/>
  </r>
  <r>
    <x v="5"/>
    <x v="6"/>
    <x v="109"/>
    <x v="48"/>
    <n v="603"/>
    <n v="97102239"/>
    <x v="1"/>
  </r>
  <r>
    <x v="5"/>
    <x v="7"/>
    <x v="110"/>
    <x v="110"/>
    <n v="781"/>
    <n v="97094420"/>
    <x v="1"/>
  </r>
  <r>
    <x v="5"/>
    <x v="8"/>
    <x v="111"/>
    <x v="26"/>
    <n v="1194"/>
    <n v="55359846"/>
    <x v="1"/>
  </r>
  <r>
    <x v="5"/>
    <x v="9"/>
    <x v="111"/>
    <x v="21"/>
    <n v="500"/>
    <n v="97101745"/>
    <x v="1"/>
  </r>
  <r>
    <x v="5"/>
    <x v="10"/>
    <x v="112"/>
    <x v="42"/>
    <n v="808"/>
    <n v="45016482"/>
    <x v="1"/>
  </r>
  <r>
    <x v="5"/>
    <x v="11"/>
    <x v="112"/>
    <x v="84"/>
    <n v="922"/>
    <n v="45016483"/>
    <x v="1"/>
  </r>
  <r>
    <x v="5"/>
    <x v="12"/>
    <x v="113"/>
    <x v="90"/>
    <n v="506"/>
    <n v="97101828"/>
    <x v="1"/>
  </r>
  <r>
    <x v="6"/>
    <x v="0"/>
    <x v="114"/>
    <x v="111"/>
    <n v="858"/>
    <n v="3550024"/>
    <x v="0"/>
  </r>
  <r>
    <x v="6"/>
    <x v="1"/>
    <x v="115"/>
    <x v="112"/>
    <n v="819"/>
    <n v="55365744"/>
    <x v="1"/>
  </r>
  <r>
    <x v="6"/>
    <x v="2"/>
    <x v="116"/>
    <x v="14"/>
    <n v="798"/>
    <n v="41155431"/>
    <x v="1"/>
  </r>
  <r>
    <x v="6"/>
    <x v="3"/>
    <x v="117"/>
    <x v="113"/>
    <n v="1439"/>
    <n v="87463437"/>
    <x v="1"/>
  </r>
  <r>
    <x v="6"/>
    <x v="4"/>
    <x v="118"/>
    <x v="3"/>
    <n v="1566"/>
    <n v="87412236"/>
    <x v="1"/>
  </r>
  <r>
    <x v="6"/>
    <x v="5"/>
    <x v="119"/>
    <x v="85"/>
    <n v="1053"/>
    <n v="97081455"/>
    <x v="1"/>
  </r>
  <r>
    <x v="6"/>
    <x v="6"/>
    <x v="119"/>
    <x v="104"/>
    <n v="500"/>
    <n v="97081456"/>
    <x v="0"/>
  </r>
  <r>
    <x v="6"/>
    <x v="7"/>
    <x v="120"/>
    <x v="110"/>
    <n v="1244"/>
    <n v="87421386"/>
    <x v="1"/>
  </r>
  <r>
    <x v="6"/>
    <x v="8"/>
    <x v="121"/>
    <x v="55"/>
    <n v="1305"/>
    <n v="87451259"/>
    <x v="1"/>
  </r>
  <r>
    <x v="6"/>
    <x v="9"/>
    <x v="122"/>
    <x v="114"/>
    <n v="962"/>
    <n v="87408742"/>
    <x v="1"/>
  </r>
  <r>
    <x v="6"/>
    <x v="10"/>
    <x v="123"/>
    <x v="115"/>
    <n v="1291"/>
    <n v="87455680"/>
    <x v="1"/>
  </r>
  <r>
    <x v="6"/>
    <x v="11"/>
    <x v="124"/>
    <x v="52"/>
    <n v="1408"/>
    <n v="43317317"/>
    <x v="1"/>
  </r>
  <r>
    <x v="6"/>
    <x v="12"/>
    <x v="125"/>
    <x v="7"/>
    <n v="900"/>
    <n v="97102231"/>
    <x v="1"/>
  </r>
  <r>
    <x v="6"/>
    <x v="13"/>
    <x v="126"/>
    <x v="3"/>
    <n v="993"/>
    <n v="55338279"/>
    <x v="1"/>
  </r>
  <r>
    <x v="6"/>
    <x v="14"/>
    <x v="127"/>
    <x v="77"/>
    <n v="1171"/>
    <n v="51214916"/>
    <x v="1"/>
  </r>
  <r>
    <x v="6"/>
    <x v="15"/>
    <x v="128"/>
    <x v="116"/>
    <n v="1102"/>
    <n v="87462930"/>
    <x v="1"/>
  </r>
  <r>
    <x v="6"/>
    <x v="16"/>
    <x v="129"/>
    <x v="117"/>
    <n v="500"/>
    <n v="97089131"/>
    <x v="0"/>
  </r>
  <r>
    <x v="6"/>
    <x v="17"/>
    <x v="130"/>
    <x v="118"/>
    <n v="1263"/>
    <n v="47346149"/>
    <x v="1"/>
  </r>
  <r>
    <x v="6"/>
    <x v="18"/>
    <x v="131"/>
    <x v="119"/>
    <n v="686"/>
    <n v="87412294"/>
    <x v="1"/>
  </r>
  <r>
    <x v="7"/>
    <x v="0"/>
    <x v="132"/>
    <x v="52"/>
    <n v="1032"/>
    <n v="97085630"/>
    <x v="1"/>
  </r>
  <r>
    <x v="7"/>
    <x v="1"/>
    <x v="133"/>
    <x v="120"/>
    <n v="523"/>
    <n v="97102262"/>
    <x v="0"/>
  </r>
  <r>
    <x v="7"/>
    <x v="2"/>
    <x v="134"/>
    <x v="121"/>
    <n v="500"/>
    <n v="97108400"/>
    <x v="0"/>
  </r>
  <r>
    <x v="7"/>
    <x v="3"/>
    <x v="135"/>
    <x v="122"/>
    <n v="500"/>
    <n v="97102259"/>
    <x v="1"/>
  </r>
  <r>
    <x v="7"/>
    <x v="4"/>
    <x v="136"/>
    <x v="123"/>
    <n v="500"/>
    <n v="97109906"/>
    <x v="1"/>
  </r>
  <r>
    <x v="7"/>
    <x v="5"/>
    <x v="136"/>
    <x v="124"/>
    <n v="500"/>
    <n v="97109907"/>
    <x v="1"/>
  </r>
  <r>
    <x v="7"/>
    <x v="6"/>
    <x v="137"/>
    <x v="125"/>
    <n v="950"/>
    <n v="87409928"/>
    <x v="1"/>
  </r>
  <r>
    <x v="7"/>
    <x v="7"/>
    <x v="138"/>
    <x v="126"/>
    <n v="500"/>
    <n v="97103865"/>
    <x v="0"/>
  </r>
  <r>
    <x v="7"/>
    <x v="8"/>
    <x v="139"/>
    <x v="127"/>
    <n v="500"/>
    <n v="97079804"/>
    <x v="1"/>
  </r>
  <r>
    <x v="7"/>
    <x v="9"/>
    <x v="139"/>
    <x v="14"/>
    <n v="591"/>
    <n v="6461864"/>
    <x v="1"/>
  </r>
  <r>
    <x v="7"/>
    <x v="10"/>
    <x v="140"/>
    <x v="90"/>
    <n v="500"/>
    <n v="97078776"/>
    <x v="0"/>
  </r>
  <r>
    <x v="7"/>
    <x v="11"/>
    <x v="141"/>
    <x v="116"/>
    <n v="500"/>
    <n v="97102260"/>
    <x v="0"/>
  </r>
  <r>
    <x v="7"/>
    <x v="12"/>
    <x v="142"/>
    <x v="128"/>
    <n v="856"/>
    <n v="97097352"/>
    <x v="1"/>
  </r>
  <r>
    <x v="7"/>
    <x v="13"/>
    <x v="143"/>
    <x v="129"/>
    <n v="516"/>
    <n v="87419653"/>
    <x v="1"/>
  </r>
  <r>
    <x v="7"/>
    <x v="14"/>
    <x v="144"/>
    <x v="130"/>
    <n v="500"/>
    <n v="97108662"/>
    <x v="0"/>
  </r>
  <r>
    <x v="7"/>
    <x v="15"/>
    <x v="145"/>
    <x v="131"/>
    <n v="500"/>
    <n v="97086090"/>
    <x v="0"/>
  </r>
  <r>
    <x v="7"/>
    <x v="16"/>
    <x v="146"/>
    <x v="48"/>
    <n v="500"/>
    <n v="97108457"/>
    <x v="1"/>
  </r>
  <r>
    <x v="7"/>
    <x v="17"/>
    <x v="146"/>
    <x v="132"/>
    <n v="500"/>
    <n v="97108458"/>
    <x v="1"/>
  </r>
  <r>
    <x v="7"/>
    <x v="18"/>
    <x v="147"/>
    <x v="133"/>
    <n v="500"/>
    <n v="97102261"/>
    <x v="0"/>
  </r>
  <r>
    <x v="7"/>
    <x v="19"/>
    <x v="148"/>
    <x v="134"/>
    <n v="500"/>
    <n v="97103866"/>
    <x v="1"/>
  </r>
  <r>
    <x v="7"/>
    <x v="20"/>
    <x v="149"/>
    <x v="135"/>
    <n v="769"/>
    <n v="97083229"/>
    <x v="1"/>
  </r>
  <r>
    <x v="7"/>
    <x v="21"/>
    <x v="150"/>
    <x v="136"/>
    <n v="1235"/>
    <n v="97102265"/>
    <x v="1"/>
  </r>
  <r>
    <x v="7"/>
    <x v="22"/>
    <x v="151"/>
    <x v="137"/>
    <n v="671"/>
    <n v="97102253"/>
    <x v="1"/>
  </r>
  <r>
    <x v="7"/>
    <x v="23"/>
    <x v="152"/>
    <x v="138"/>
    <n v="518"/>
    <n v="97102266"/>
    <x v="0"/>
  </r>
  <r>
    <x v="7"/>
    <x v="24"/>
    <x v="153"/>
    <x v="139"/>
    <n v="500"/>
    <n v="97103867"/>
    <x v="1"/>
  </r>
  <r>
    <x v="7"/>
    <x v="25"/>
    <x v="154"/>
    <x v="140"/>
    <n v="500"/>
    <n v="97103868"/>
    <x v="0"/>
  </r>
  <r>
    <x v="7"/>
    <x v="26"/>
    <x v="155"/>
    <x v="141"/>
    <n v="500"/>
    <n v="97103869"/>
    <x v="0"/>
  </r>
  <r>
    <x v="7"/>
    <x v="27"/>
    <x v="156"/>
    <x v="32"/>
    <n v="753"/>
    <n v="97108209"/>
    <x v="1"/>
  </r>
  <r>
    <x v="7"/>
    <x v="28"/>
    <x v="157"/>
    <x v="18"/>
    <n v="500"/>
    <n v="97109908"/>
    <x v="1"/>
  </r>
  <r>
    <x v="7"/>
    <x v="29"/>
    <x v="158"/>
    <x v="142"/>
    <n v="500"/>
    <n v="97103870"/>
    <x v="0"/>
  </r>
  <r>
    <x v="7"/>
    <x v="30"/>
    <x v="159"/>
    <x v="143"/>
    <n v="500"/>
    <n v="97103871"/>
    <x v="0"/>
  </r>
  <r>
    <x v="7"/>
    <x v="31"/>
    <x v="159"/>
    <x v="144"/>
    <n v="500"/>
    <n v="97103872"/>
    <x v="0"/>
  </r>
  <r>
    <x v="7"/>
    <x v="32"/>
    <x v="160"/>
    <x v="85"/>
    <n v="587"/>
    <n v="97083230"/>
    <x v="1"/>
  </r>
  <r>
    <x v="7"/>
    <x v="33"/>
    <x v="161"/>
    <x v="145"/>
    <n v="500"/>
    <n v="97103873"/>
    <x v="0"/>
  </r>
  <r>
    <x v="7"/>
    <x v="34"/>
    <x v="162"/>
    <x v="83"/>
    <n v="863"/>
    <n v="87423078"/>
    <x v="1"/>
  </r>
  <r>
    <x v="7"/>
    <x v="35"/>
    <x v="162"/>
    <x v="146"/>
    <n v="671"/>
    <n v="97092920"/>
    <x v="1"/>
  </r>
  <r>
    <x v="7"/>
    <x v="36"/>
    <x v="162"/>
    <x v="147"/>
    <n v="1400"/>
    <n v="55333709"/>
    <x v="1"/>
  </r>
  <r>
    <x v="7"/>
    <x v="36"/>
    <x v="162"/>
    <x v="148"/>
    <n v="797"/>
    <n v="97097848"/>
    <x v="1"/>
  </r>
  <r>
    <x v="7"/>
    <x v="37"/>
    <x v="163"/>
    <x v="14"/>
    <n v="711"/>
    <n v="55341618"/>
    <x v="1"/>
  </r>
  <r>
    <x v="7"/>
    <x v="38"/>
    <x v="12"/>
    <x v="70"/>
    <n v="599"/>
    <n v="97090192"/>
    <x v="0"/>
  </r>
  <r>
    <x v="7"/>
    <x v="39"/>
    <x v="12"/>
    <x v="149"/>
    <n v="500"/>
    <n v="97104700"/>
    <x v="0"/>
  </r>
  <r>
    <x v="7"/>
    <x v="40"/>
    <x v="164"/>
    <x v="150"/>
    <n v="761"/>
    <n v="97108663"/>
    <x v="1"/>
  </r>
  <r>
    <x v="7"/>
    <x v="41"/>
    <x v="165"/>
    <x v="9"/>
    <n v="667"/>
    <n v="97088070"/>
    <x v="1"/>
  </r>
  <r>
    <x v="7"/>
    <x v="42"/>
    <x v="165"/>
    <x v="151"/>
    <n v="864"/>
    <n v="97083234"/>
    <x v="1"/>
  </r>
  <r>
    <x v="7"/>
    <x v="43"/>
    <x v="166"/>
    <x v="145"/>
    <n v="500"/>
    <n v="97103874"/>
    <x v="0"/>
  </r>
  <r>
    <x v="7"/>
    <x v="44"/>
    <x v="167"/>
    <x v="2"/>
    <n v="500"/>
    <n v="97081497"/>
    <x v="1"/>
  </r>
  <r>
    <x v="7"/>
    <x v="45"/>
    <x v="127"/>
    <x v="90"/>
    <n v="500"/>
    <n v="97103875"/>
    <x v="0"/>
  </r>
  <r>
    <x v="7"/>
    <x v="46"/>
    <x v="168"/>
    <x v="152"/>
    <n v="500"/>
    <n v="91109278"/>
    <x v="1"/>
  </r>
  <r>
    <x v="7"/>
    <x v="47"/>
    <x v="168"/>
    <x v="153"/>
    <n v="500"/>
    <n v="97103876"/>
    <x v="1"/>
  </r>
  <r>
    <x v="7"/>
    <x v="48"/>
    <x v="169"/>
    <x v="26"/>
    <n v="894"/>
    <n v="97092921"/>
    <x v="1"/>
  </r>
  <r>
    <x v="7"/>
    <x v="49"/>
    <x v="170"/>
    <x v="14"/>
    <n v="500"/>
    <n v="97103877"/>
    <x v="0"/>
  </r>
  <r>
    <x v="7"/>
    <x v="50"/>
    <x v="171"/>
    <x v="154"/>
    <n v="500"/>
    <n v="97084609"/>
    <x v="0"/>
  </r>
  <r>
    <x v="7"/>
    <x v="51"/>
    <x v="172"/>
    <x v="11"/>
    <n v="500"/>
    <n v="97107572"/>
    <x v="0"/>
  </r>
  <r>
    <x v="7"/>
    <x v="52"/>
    <x v="173"/>
    <x v="155"/>
    <n v="500"/>
    <n v="97108401"/>
    <x v="0"/>
  </r>
  <r>
    <x v="7"/>
    <x v="53"/>
    <x v="174"/>
    <x v="77"/>
    <n v="618"/>
    <n v="87417974"/>
    <x v="1"/>
  </r>
  <r>
    <x v="7"/>
    <x v="54"/>
    <x v="175"/>
    <x v="156"/>
    <n v="500"/>
    <n v="55334911"/>
    <x v="1"/>
  </r>
  <r>
    <x v="7"/>
    <x v="55"/>
    <x v="176"/>
    <x v="101"/>
    <n v="500"/>
    <n v="97054977"/>
    <x v="0"/>
  </r>
  <r>
    <x v="7"/>
    <x v="56"/>
    <x v="176"/>
    <x v="128"/>
    <n v="500"/>
    <n v="97102263"/>
    <x v="1"/>
  </r>
  <r>
    <x v="7"/>
    <x v="57"/>
    <x v="177"/>
    <x v="157"/>
    <n v="500"/>
    <n v="97111722"/>
    <x v="1"/>
  </r>
  <r>
    <x v="7"/>
    <x v="58"/>
    <x v="178"/>
    <x v="158"/>
    <n v="857"/>
    <n v="97109251"/>
    <x v="1"/>
  </r>
  <r>
    <x v="7"/>
    <x v="59"/>
    <x v="179"/>
    <x v="159"/>
    <n v="531"/>
    <n v="97109252"/>
    <x v="1"/>
  </r>
  <r>
    <x v="7"/>
    <x v="60"/>
    <x v="180"/>
    <x v="160"/>
    <n v="500"/>
    <n v="97102264"/>
    <x v="0"/>
  </r>
  <r>
    <x v="7"/>
    <x v="61"/>
    <x v="181"/>
    <x v="3"/>
    <n v="500"/>
    <n v="97109250"/>
    <x v="1"/>
  </r>
  <r>
    <x v="8"/>
    <x v="0"/>
    <x v="182"/>
    <x v="104"/>
    <n v="500"/>
    <n v="97103247"/>
    <x v="0"/>
  </r>
  <r>
    <x v="8"/>
    <x v="1"/>
    <x v="183"/>
    <x v="161"/>
    <n v="500"/>
    <n v="97103248"/>
    <x v="0"/>
  </r>
  <r>
    <x v="8"/>
    <x v="2"/>
    <x v="184"/>
    <x v="162"/>
    <n v="500"/>
    <n v="97103249"/>
    <x v="0"/>
  </r>
  <r>
    <x v="8"/>
    <x v="3"/>
    <x v="185"/>
    <x v="163"/>
    <n v="500"/>
    <n v="97113269"/>
    <x v="1"/>
  </r>
  <r>
    <x v="8"/>
    <x v="4"/>
    <x v="186"/>
    <x v="48"/>
    <n v="816"/>
    <n v="87425016"/>
    <x v="0"/>
  </r>
  <r>
    <x v="8"/>
    <x v="5"/>
    <x v="186"/>
    <x v="44"/>
    <n v="500"/>
    <n v="55329426"/>
    <x v="0"/>
  </r>
  <r>
    <x v="8"/>
    <x v="6"/>
    <x v="187"/>
    <x v="164"/>
    <n v="500"/>
    <n v="97102683"/>
    <x v="1"/>
  </r>
  <r>
    <x v="8"/>
    <x v="7"/>
    <x v="187"/>
    <x v="165"/>
    <n v="524"/>
    <n v="97094843"/>
    <x v="1"/>
  </r>
  <r>
    <x v="8"/>
    <x v="8"/>
    <x v="188"/>
    <x v="85"/>
    <n v="587"/>
    <n v="87428737"/>
    <x v="0"/>
  </r>
  <r>
    <x v="8"/>
    <x v="9"/>
    <x v="189"/>
    <x v="166"/>
    <n v="824"/>
    <n v="97099879"/>
    <x v="1"/>
  </r>
  <r>
    <x v="8"/>
    <x v="10"/>
    <x v="190"/>
    <x v="167"/>
    <n v="500"/>
    <n v="97058808"/>
    <x v="0"/>
  </r>
  <r>
    <x v="8"/>
    <x v="11"/>
    <x v="191"/>
    <x v="68"/>
    <n v="500"/>
    <n v="87434004"/>
    <x v="0"/>
  </r>
  <r>
    <x v="8"/>
    <x v="12"/>
    <x v="192"/>
    <x v="168"/>
    <n v="500"/>
    <n v="97055207"/>
    <x v="1"/>
  </r>
  <r>
    <x v="8"/>
    <x v="13"/>
    <x v="193"/>
    <x v="169"/>
    <n v="500"/>
    <n v="97104966"/>
    <x v="0"/>
  </r>
  <r>
    <x v="8"/>
    <x v="14"/>
    <x v="194"/>
    <x v="32"/>
    <n v="500"/>
    <n v="97088068"/>
    <x v="0"/>
  </r>
  <r>
    <x v="8"/>
    <x v="15"/>
    <x v="195"/>
    <x v="170"/>
    <n v="500"/>
    <n v="97103250"/>
    <x v="0"/>
  </r>
  <r>
    <x v="8"/>
    <x v="16"/>
    <x v="196"/>
    <x v="171"/>
    <n v="658"/>
    <n v="97067620"/>
    <x v="1"/>
  </r>
  <r>
    <x v="8"/>
    <x v="17"/>
    <x v="197"/>
    <x v="39"/>
    <n v="1023"/>
    <n v="87422280"/>
    <x v="1"/>
  </r>
  <r>
    <x v="8"/>
    <x v="18"/>
    <x v="197"/>
    <x v="172"/>
    <n v="712"/>
    <n v="87422279"/>
    <x v="1"/>
  </r>
  <r>
    <x v="8"/>
    <x v="19"/>
    <x v="198"/>
    <x v="152"/>
    <n v="500"/>
    <n v="97106158"/>
    <x v="0"/>
  </r>
  <r>
    <x v="8"/>
    <x v="20"/>
    <x v="199"/>
    <x v="173"/>
    <n v="517"/>
    <n v="97103251"/>
    <x v="0"/>
  </r>
  <r>
    <x v="8"/>
    <x v="21"/>
    <x v="200"/>
    <x v="14"/>
    <n v="500"/>
    <n v="97099564"/>
    <x v="1"/>
  </r>
  <r>
    <x v="8"/>
    <x v="22"/>
    <x v="201"/>
    <x v="174"/>
    <n v="762"/>
    <n v="97094845"/>
    <x v="1"/>
  </r>
  <r>
    <x v="8"/>
    <x v="23"/>
    <x v="202"/>
    <x v="162"/>
    <n v="771"/>
    <n v="97085014"/>
    <x v="1"/>
  </r>
  <r>
    <x v="8"/>
    <x v="24"/>
    <x v="203"/>
    <x v="78"/>
    <n v="1586"/>
    <n v="55355005"/>
    <x v="1"/>
  </r>
  <r>
    <x v="8"/>
    <x v="25"/>
    <x v="204"/>
    <x v="26"/>
    <n v="500"/>
    <n v="97067298"/>
    <x v="1"/>
  </r>
  <r>
    <x v="8"/>
    <x v="26"/>
    <x v="205"/>
    <x v="97"/>
    <n v="901"/>
    <n v="97103252"/>
    <x v="0"/>
  </r>
  <r>
    <x v="8"/>
    <x v="27"/>
    <x v="206"/>
    <x v="175"/>
    <n v="529"/>
    <n v="97093983"/>
    <x v="1"/>
  </r>
  <r>
    <x v="8"/>
    <x v="28"/>
    <x v="147"/>
    <x v="114"/>
    <n v="500"/>
    <n v="87419710"/>
    <x v="0"/>
  </r>
  <r>
    <x v="8"/>
    <x v="29"/>
    <x v="207"/>
    <x v="176"/>
    <n v="500"/>
    <n v="97103253"/>
    <x v="0"/>
  </r>
  <r>
    <x v="8"/>
    <x v="30"/>
    <x v="208"/>
    <x v="177"/>
    <n v="500"/>
    <n v="97102684"/>
    <x v="0"/>
  </r>
  <r>
    <x v="8"/>
    <x v="31"/>
    <x v="209"/>
    <x v="178"/>
    <n v="858"/>
    <n v="87443607"/>
    <x v="1"/>
  </r>
  <r>
    <x v="8"/>
    <x v="32"/>
    <x v="210"/>
    <x v="110"/>
    <n v="500"/>
    <n v="97093984"/>
    <x v="1"/>
  </r>
  <r>
    <x v="8"/>
    <x v="33"/>
    <x v="211"/>
    <x v="179"/>
    <n v="500"/>
    <n v="87439952"/>
    <x v="0"/>
  </r>
  <r>
    <x v="8"/>
    <x v="34"/>
    <x v="212"/>
    <x v="14"/>
    <n v="500"/>
    <n v="97077949"/>
    <x v="0"/>
  </r>
  <r>
    <x v="8"/>
    <x v="35"/>
    <x v="213"/>
    <x v="180"/>
    <n v="500"/>
    <n v="97074503"/>
    <x v="1"/>
  </r>
  <r>
    <x v="8"/>
    <x v="36"/>
    <x v="213"/>
    <x v="181"/>
    <n v="500"/>
    <n v="97078967"/>
    <x v="1"/>
  </r>
  <r>
    <x v="8"/>
    <x v="37"/>
    <x v="214"/>
    <x v="182"/>
    <n v="500"/>
    <n v="97103254"/>
    <x v="0"/>
  </r>
  <r>
    <x v="8"/>
    <x v="38"/>
    <x v="215"/>
    <x v="183"/>
    <n v="500"/>
    <n v="97113270"/>
    <x v="1"/>
  </r>
  <r>
    <x v="8"/>
    <x v="39"/>
    <x v="216"/>
    <x v="184"/>
    <n v="595"/>
    <n v="97078970"/>
    <x v="1"/>
  </r>
  <r>
    <x v="8"/>
    <x v="40"/>
    <x v="217"/>
    <x v="78"/>
    <n v="559"/>
    <n v="97102585"/>
    <x v="1"/>
  </r>
  <r>
    <x v="8"/>
    <x v="41"/>
    <x v="218"/>
    <x v="55"/>
    <n v="500"/>
    <n v="87418869"/>
    <x v="0"/>
  </r>
  <r>
    <x v="8"/>
    <x v="42"/>
    <x v="219"/>
    <x v="185"/>
    <n v="500"/>
    <n v="97102586"/>
    <x v="0"/>
  </r>
  <r>
    <x v="8"/>
    <x v="43"/>
    <x v="220"/>
    <x v="186"/>
    <n v="500"/>
    <n v="97080895"/>
    <x v="1"/>
  </r>
  <r>
    <x v="8"/>
    <x v="44"/>
    <x v="221"/>
    <x v="187"/>
    <n v="658"/>
    <n v="97078980"/>
    <x v="1"/>
  </r>
  <r>
    <x v="8"/>
    <x v="45"/>
    <x v="221"/>
    <x v="188"/>
    <n v="500"/>
    <n v="97093982"/>
    <x v="1"/>
  </r>
  <r>
    <x v="8"/>
    <x v="46"/>
    <x v="222"/>
    <x v="189"/>
    <n v="500"/>
    <n v="97104967"/>
    <x v="0"/>
  </r>
  <r>
    <x v="8"/>
    <x v="47"/>
    <x v="223"/>
    <x v="190"/>
    <n v="551"/>
    <n v="97108444"/>
    <x v="1"/>
  </r>
  <r>
    <x v="8"/>
    <x v="48"/>
    <x v="224"/>
    <x v="54"/>
    <n v="500"/>
    <n v="97081701"/>
    <x v="1"/>
  </r>
  <r>
    <x v="8"/>
    <x v="49"/>
    <x v="225"/>
    <x v="191"/>
    <n v="500"/>
    <n v="97075553"/>
    <x v="1"/>
  </r>
  <r>
    <x v="8"/>
    <x v="50"/>
    <x v="226"/>
    <x v="147"/>
    <n v="500"/>
    <n v="97103255"/>
    <x v="1"/>
  </r>
  <r>
    <x v="8"/>
    <x v="51"/>
    <x v="227"/>
    <x v="149"/>
    <n v="500"/>
    <n v="97103256"/>
    <x v="0"/>
  </r>
  <r>
    <x v="8"/>
    <x v="52"/>
    <x v="228"/>
    <x v="192"/>
    <n v="500"/>
    <n v="97103257"/>
    <x v="1"/>
  </r>
  <r>
    <x v="8"/>
    <x v="53"/>
    <x v="228"/>
    <x v="193"/>
    <n v="511"/>
    <n v="97103258"/>
    <x v="1"/>
  </r>
  <r>
    <x v="8"/>
    <x v="54"/>
    <x v="162"/>
    <x v="194"/>
    <n v="1693"/>
    <n v="53287711"/>
    <x v="1"/>
  </r>
  <r>
    <x v="8"/>
    <x v="55"/>
    <x v="162"/>
    <x v="195"/>
    <n v="500"/>
    <n v="97085272"/>
    <x v="0"/>
  </r>
  <r>
    <x v="8"/>
    <x v="56"/>
    <x v="93"/>
    <x v="196"/>
    <n v="1226"/>
    <n v="87456585"/>
    <x v="1"/>
  </r>
  <r>
    <x v="8"/>
    <x v="57"/>
    <x v="229"/>
    <x v="197"/>
    <n v="500"/>
    <n v="97106159"/>
    <x v="1"/>
  </r>
  <r>
    <x v="8"/>
    <x v="58"/>
    <x v="230"/>
    <x v="60"/>
    <n v="827"/>
    <n v="97082456"/>
    <x v="1"/>
  </r>
  <r>
    <x v="8"/>
    <x v="59"/>
    <x v="231"/>
    <x v="198"/>
    <n v="500"/>
    <n v="97103259"/>
    <x v="0"/>
  </r>
  <r>
    <x v="8"/>
    <x v="60"/>
    <x v="232"/>
    <x v="104"/>
    <n v="986"/>
    <n v="55332334"/>
    <x v="0"/>
  </r>
  <r>
    <x v="8"/>
    <x v="61"/>
    <x v="233"/>
    <x v="199"/>
    <n v="500"/>
    <n v="97072164"/>
    <x v="0"/>
  </r>
  <r>
    <x v="8"/>
    <x v="62"/>
    <x v="234"/>
    <x v="200"/>
    <n v="500"/>
    <n v="97103260"/>
    <x v="0"/>
  </r>
  <r>
    <x v="8"/>
    <x v="63"/>
    <x v="235"/>
    <x v="24"/>
    <n v="507"/>
    <n v="97074806"/>
    <x v="1"/>
  </r>
  <r>
    <x v="8"/>
    <x v="64"/>
    <x v="236"/>
    <x v="201"/>
    <n v="500"/>
    <n v="97113271"/>
    <x v="1"/>
  </r>
  <r>
    <x v="8"/>
    <x v="65"/>
    <x v="237"/>
    <x v="202"/>
    <n v="500"/>
    <n v="97113272"/>
    <x v="1"/>
  </r>
  <r>
    <x v="8"/>
    <x v="66"/>
    <x v="238"/>
    <x v="119"/>
    <n v="840"/>
    <n v="97103261"/>
    <x v="0"/>
  </r>
  <r>
    <x v="8"/>
    <x v="67"/>
    <x v="239"/>
    <x v="203"/>
    <n v="500"/>
    <n v="97094847"/>
    <x v="0"/>
  </r>
  <r>
    <x v="8"/>
    <x v="68"/>
    <x v="240"/>
    <x v="204"/>
    <n v="500"/>
    <n v="97104968"/>
    <x v="0"/>
  </r>
  <r>
    <x v="8"/>
    <x v="69"/>
    <x v="240"/>
    <x v="205"/>
    <n v="500"/>
    <n v="97103262"/>
    <x v="0"/>
  </r>
  <r>
    <x v="8"/>
    <x v="70"/>
    <x v="241"/>
    <x v="158"/>
    <n v="500"/>
    <n v="87472634"/>
    <x v="0"/>
  </r>
  <r>
    <x v="8"/>
    <x v="71"/>
    <x v="242"/>
    <x v="116"/>
    <n v="1729"/>
    <n v="87423242"/>
    <x v="0"/>
  </r>
  <r>
    <x v="8"/>
    <x v="72"/>
    <x v="243"/>
    <x v="206"/>
    <n v="535"/>
    <n v="97076782"/>
    <x v="1"/>
  </r>
  <r>
    <x v="8"/>
    <x v="73"/>
    <x v="244"/>
    <x v="207"/>
    <n v="1166"/>
    <n v="6269999"/>
    <x v="0"/>
  </r>
  <r>
    <x v="8"/>
    <x v="74"/>
    <x v="245"/>
    <x v="139"/>
    <n v="1282"/>
    <n v="97103263"/>
    <x v="0"/>
  </r>
  <r>
    <x v="8"/>
    <x v="75"/>
    <x v="246"/>
    <x v="208"/>
    <n v="500"/>
    <n v="97113273"/>
    <x v="1"/>
  </r>
  <r>
    <x v="8"/>
    <x v="76"/>
    <x v="247"/>
    <x v="209"/>
    <n v="500"/>
    <n v="87452146"/>
    <x v="0"/>
  </r>
  <r>
    <x v="8"/>
    <x v="77"/>
    <x v="248"/>
    <x v="130"/>
    <n v="500"/>
    <n v="97111944"/>
    <x v="1"/>
  </r>
  <r>
    <x v="8"/>
    <x v="78"/>
    <x v="249"/>
    <x v="88"/>
    <n v="826"/>
    <n v="87429051"/>
    <x v="1"/>
  </r>
  <r>
    <x v="8"/>
    <x v="79"/>
    <x v="250"/>
    <x v="85"/>
    <n v="1343"/>
    <n v="53291803"/>
    <x v="1"/>
  </r>
  <r>
    <x v="8"/>
    <x v="80"/>
    <x v="251"/>
    <x v="50"/>
    <n v="500"/>
    <n v="97102587"/>
    <x v="0"/>
  </r>
  <r>
    <x v="8"/>
    <x v="81"/>
    <x v="252"/>
    <x v="210"/>
    <n v="500"/>
    <n v="97089978"/>
    <x v="0"/>
  </r>
  <r>
    <x v="8"/>
    <x v="82"/>
    <x v="253"/>
    <x v="70"/>
    <n v="589"/>
    <n v="97102588"/>
    <x v="1"/>
  </r>
  <r>
    <x v="8"/>
    <x v="83"/>
    <x v="254"/>
    <x v="211"/>
    <n v="700"/>
    <n v="97109928"/>
    <x v="1"/>
  </r>
  <r>
    <x v="8"/>
    <x v="84"/>
    <x v="255"/>
    <x v="212"/>
    <n v="1089"/>
    <n v="97103264"/>
    <x v="1"/>
  </r>
  <r>
    <x v="8"/>
    <x v="85"/>
    <x v="256"/>
    <x v="213"/>
    <n v="500"/>
    <n v="87421139"/>
    <x v="0"/>
  </r>
  <r>
    <x v="8"/>
    <x v="86"/>
    <x v="256"/>
    <x v="214"/>
    <n v="500"/>
    <n v="97103265"/>
    <x v="0"/>
  </r>
  <r>
    <x v="8"/>
    <x v="87"/>
    <x v="256"/>
    <x v="215"/>
    <n v="500"/>
    <n v="97072235"/>
    <x v="0"/>
  </r>
  <r>
    <x v="8"/>
    <x v="88"/>
    <x v="257"/>
    <x v="216"/>
    <n v="500"/>
    <n v="87423238"/>
    <x v="1"/>
  </r>
  <r>
    <x v="8"/>
    <x v="89"/>
    <x v="257"/>
    <x v="217"/>
    <n v="500"/>
    <n v="3552935"/>
    <x v="1"/>
  </r>
  <r>
    <x v="8"/>
    <x v="90"/>
    <x v="258"/>
    <x v="218"/>
    <n v="500"/>
    <n v="87449910"/>
    <x v="0"/>
  </r>
  <r>
    <x v="8"/>
    <x v="91"/>
    <x v="259"/>
    <x v="43"/>
    <n v="500"/>
    <n v="97103266"/>
    <x v="0"/>
  </r>
  <r>
    <x v="8"/>
    <x v="92"/>
    <x v="260"/>
    <x v="219"/>
    <n v="500"/>
    <n v="97103267"/>
    <x v="0"/>
  </r>
  <r>
    <x v="8"/>
    <x v="93"/>
    <x v="261"/>
    <x v="220"/>
    <n v="588"/>
    <n v="97088488"/>
    <x v="1"/>
  </r>
  <r>
    <x v="8"/>
    <x v="94"/>
    <x v="262"/>
    <x v="221"/>
    <n v="500"/>
    <n v="97088069"/>
    <x v="0"/>
  </r>
  <r>
    <x v="8"/>
    <x v="95"/>
    <x v="263"/>
    <x v="68"/>
    <n v="500"/>
    <n v="97102464"/>
    <x v="1"/>
  </r>
  <r>
    <x v="8"/>
    <x v="96"/>
    <x v="264"/>
    <x v="97"/>
    <n v="1063"/>
    <n v="97057176"/>
    <x v="1"/>
  </r>
  <r>
    <x v="8"/>
    <x v="97"/>
    <x v="265"/>
    <x v="193"/>
    <n v="500"/>
    <n v="87451675"/>
    <x v="0"/>
  </r>
  <r>
    <x v="8"/>
    <x v="98"/>
    <x v="266"/>
    <x v="222"/>
    <n v="560"/>
    <n v="97094848"/>
    <x v="1"/>
  </r>
  <r>
    <x v="8"/>
    <x v="99"/>
    <x v="267"/>
    <x v="223"/>
    <n v="508"/>
    <n v="97082350"/>
    <x v="1"/>
  </r>
  <r>
    <x v="8"/>
    <x v="100"/>
    <x v="268"/>
    <x v="224"/>
    <n v="500"/>
    <n v="97103268"/>
    <x v="0"/>
  </r>
  <r>
    <x v="8"/>
    <x v="101"/>
    <x v="268"/>
    <x v="225"/>
    <n v="500"/>
    <n v="97103269"/>
    <x v="0"/>
  </r>
  <r>
    <x v="9"/>
    <x v="0"/>
    <x v="269"/>
    <x v="214"/>
    <n v="1707"/>
    <n v="97093937"/>
    <x v="1"/>
  </r>
  <r>
    <x v="9"/>
    <x v="1"/>
    <x v="270"/>
    <x v="226"/>
    <n v="1038"/>
    <n v="97109689"/>
    <x v="1"/>
  </r>
  <r>
    <x v="9"/>
    <x v="2"/>
    <x v="271"/>
    <x v="227"/>
    <n v="884"/>
    <n v="97083249"/>
    <x v="1"/>
  </r>
  <r>
    <x v="9"/>
    <x v="3"/>
    <x v="272"/>
    <x v="54"/>
    <n v="1478"/>
    <n v="97094052"/>
    <x v="0"/>
  </r>
  <r>
    <x v="9"/>
    <x v="4"/>
    <x v="273"/>
    <x v="228"/>
    <n v="1034"/>
    <n v="97096461"/>
    <x v="0"/>
  </r>
  <r>
    <x v="9"/>
    <x v="5"/>
    <x v="274"/>
    <x v="102"/>
    <n v="1223"/>
    <n v="97091286"/>
    <x v="1"/>
  </r>
  <r>
    <x v="9"/>
    <x v="6"/>
    <x v="275"/>
    <x v="229"/>
    <n v="945"/>
    <n v="97098757"/>
    <x v="1"/>
  </r>
  <r>
    <x v="9"/>
    <x v="7"/>
    <x v="276"/>
    <x v="230"/>
    <n v="1675"/>
    <n v="97103028"/>
    <x v="1"/>
  </r>
  <r>
    <x v="9"/>
    <x v="8"/>
    <x v="217"/>
    <x v="231"/>
    <n v="1575"/>
    <n v="97094709"/>
    <x v="1"/>
  </r>
  <r>
    <x v="9"/>
    <x v="9"/>
    <x v="277"/>
    <x v="232"/>
    <n v="1024"/>
    <n v="97109690"/>
    <x v="1"/>
  </r>
  <r>
    <x v="9"/>
    <x v="10"/>
    <x v="278"/>
    <x v="233"/>
    <n v="983"/>
    <n v="97091285"/>
    <x v="1"/>
  </r>
  <r>
    <x v="9"/>
    <x v="11"/>
    <x v="279"/>
    <x v="234"/>
    <n v="1029"/>
    <n v="97092069"/>
    <x v="0"/>
  </r>
  <r>
    <x v="9"/>
    <x v="12"/>
    <x v="280"/>
    <x v="235"/>
    <n v="1070"/>
    <n v="97093938"/>
    <x v="1"/>
  </r>
  <r>
    <x v="9"/>
    <x v="13"/>
    <x v="281"/>
    <x v="132"/>
    <n v="1270"/>
    <n v="97094687"/>
    <x v="1"/>
  </r>
  <r>
    <x v="9"/>
    <x v="14"/>
    <x v="282"/>
    <x v="124"/>
    <n v="937"/>
    <n v="87426434"/>
    <x v="0"/>
  </r>
  <r>
    <x v="9"/>
    <x v="15"/>
    <x v="244"/>
    <x v="81"/>
    <n v="1247"/>
    <n v="97072234"/>
    <x v="0"/>
  </r>
  <r>
    <x v="9"/>
    <x v="16"/>
    <x v="283"/>
    <x v="236"/>
    <n v="631"/>
    <n v="97109691"/>
    <x v="1"/>
  </r>
  <r>
    <x v="9"/>
    <x v="17"/>
    <x v="284"/>
    <x v="237"/>
    <n v="500"/>
    <n v="55362530"/>
    <x v="1"/>
  </r>
  <r>
    <x v="9"/>
    <x v="18"/>
    <x v="285"/>
    <x v="238"/>
    <n v="1751"/>
    <n v="87465792"/>
    <x v="1"/>
  </r>
  <r>
    <x v="9"/>
    <x v="19"/>
    <x v="286"/>
    <x v="3"/>
    <n v="1209"/>
    <n v="97071276"/>
    <x v="1"/>
  </r>
  <r>
    <x v="9"/>
    <x v="20"/>
    <x v="287"/>
    <x v="110"/>
    <n v="586"/>
    <n v="97109692"/>
    <x v="1"/>
  </r>
  <r>
    <x v="9"/>
    <x v="21"/>
    <x v="288"/>
    <x v="239"/>
    <n v="989"/>
    <n v="97093939"/>
    <x v="0"/>
  </r>
  <r>
    <x v="10"/>
    <x v="0"/>
    <x v="289"/>
    <x v="196"/>
    <n v="500"/>
    <n v="87412126"/>
    <x v="1"/>
  </r>
  <r>
    <x v="10"/>
    <x v="1"/>
    <x v="290"/>
    <x v="7"/>
    <n v="500"/>
    <n v="51217187"/>
    <x v="1"/>
  </r>
  <r>
    <x v="10"/>
    <x v="2"/>
    <x v="290"/>
    <x v="240"/>
    <n v="500"/>
    <n v="53289972"/>
    <x v="1"/>
  </r>
  <r>
    <x v="10"/>
    <x v="3"/>
    <x v="291"/>
    <x v="8"/>
    <n v="500"/>
    <n v="97103242"/>
    <x v="1"/>
  </r>
  <r>
    <x v="10"/>
    <x v="4"/>
    <x v="291"/>
    <x v="80"/>
    <n v="500"/>
    <n v="97103243"/>
    <x v="1"/>
  </r>
  <r>
    <x v="10"/>
    <x v="5"/>
    <x v="292"/>
    <x v="241"/>
    <n v="500"/>
    <n v="97081471"/>
    <x v="1"/>
  </r>
  <r>
    <x v="10"/>
    <x v="6"/>
    <x v="293"/>
    <x v="226"/>
    <n v="500"/>
    <n v="3552644"/>
    <x v="1"/>
  </r>
  <r>
    <x v="10"/>
    <x v="7"/>
    <x v="294"/>
    <x v="242"/>
    <n v="500"/>
    <n v="87421332"/>
    <x v="1"/>
  </r>
  <r>
    <x v="11"/>
    <x v="0"/>
    <x v="295"/>
    <x v="14"/>
    <n v="653"/>
    <n v="47346505"/>
    <x v="1"/>
  </r>
  <r>
    <x v="11"/>
    <x v="1"/>
    <x v="296"/>
    <x v="21"/>
    <n v="578"/>
    <n v="47346504"/>
    <x v="1"/>
  </r>
  <r>
    <x v="11"/>
    <x v="2"/>
    <x v="297"/>
    <x v="243"/>
    <n v="534"/>
    <n v="87461715"/>
    <x v="0"/>
  </r>
  <r>
    <x v="11"/>
    <x v="3"/>
    <x v="298"/>
    <x v="136"/>
    <n v="500"/>
    <n v="87461695"/>
    <x v="1"/>
  </r>
  <r>
    <x v="11"/>
    <x v="4"/>
    <x v="299"/>
    <x v="244"/>
    <n v="950"/>
    <n v="87446665"/>
    <x v="1"/>
  </r>
  <r>
    <x v="11"/>
    <x v="5"/>
    <x v="300"/>
    <x v="50"/>
    <n v="500"/>
    <n v="87415008"/>
    <x v="1"/>
  </r>
  <r>
    <x v="11"/>
    <x v="6"/>
    <x v="301"/>
    <x v="119"/>
    <n v="964"/>
    <n v="55323642"/>
    <x v="1"/>
  </r>
  <r>
    <x v="11"/>
    <x v="7"/>
    <x v="302"/>
    <x v="104"/>
    <n v="500"/>
    <n v="97098733"/>
    <x v="0"/>
  </r>
  <r>
    <x v="11"/>
    <x v="8"/>
    <x v="303"/>
    <x v="68"/>
    <n v="1370"/>
    <n v="87422258"/>
    <x v="1"/>
  </r>
  <r>
    <x v="12"/>
    <x v="0"/>
    <x v="304"/>
    <x v="3"/>
    <n v="598"/>
    <n v="87408785"/>
    <x v="0"/>
  </r>
  <r>
    <x v="12"/>
    <x v="1"/>
    <x v="305"/>
    <x v="18"/>
    <n v="845"/>
    <n v="87425127"/>
    <x v="1"/>
  </r>
  <r>
    <x v="12"/>
    <x v="2"/>
    <x v="306"/>
    <x v="53"/>
    <n v="611"/>
    <n v="87418119"/>
    <x v="1"/>
  </r>
  <r>
    <x v="12"/>
    <x v="3"/>
    <x v="307"/>
    <x v="245"/>
    <n v="839"/>
    <n v="97076300"/>
    <x v="1"/>
  </r>
  <r>
    <x v="12"/>
    <x v="4"/>
    <x v="308"/>
    <x v="246"/>
    <n v="541"/>
    <n v="97107169"/>
    <x v="0"/>
  </r>
  <r>
    <x v="12"/>
    <x v="5"/>
    <x v="309"/>
    <x v="247"/>
    <n v="770"/>
    <n v="97065864"/>
    <x v="1"/>
  </r>
  <r>
    <x v="12"/>
    <x v="6"/>
    <x v="310"/>
    <x v="147"/>
    <n v="500"/>
    <n v="97093506"/>
    <x v="1"/>
  </r>
  <r>
    <x v="12"/>
    <x v="7"/>
    <x v="311"/>
    <x v="71"/>
    <n v="732"/>
    <n v="97109571"/>
    <x v="1"/>
  </r>
  <r>
    <x v="12"/>
    <x v="8"/>
    <x v="312"/>
    <x v="77"/>
    <n v="536"/>
    <n v="97093507"/>
    <x v="1"/>
  </r>
  <r>
    <x v="12"/>
    <x v="9"/>
    <x v="313"/>
    <x v="207"/>
    <n v="500"/>
    <n v="87417203"/>
    <x v="1"/>
  </r>
  <r>
    <x v="12"/>
    <x v="10"/>
    <x v="314"/>
    <x v="248"/>
    <n v="1263"/>
    <n v="97060243"/>
    <x v="1"/>
  </r>
  <r>
    <x v="12"/>
    <x v="11"/>
    <x v="315"/>
    <x v="236"/>
    <n v="500"/>
    <n v="97110382"/>
    <x v="1"/>
  </r>
  <r>
    <x v="12"/>
    <x v="12"/>
    <x v="316"/>
    <x v="102"/>
    <n v="704"/>
    <n v="87408784"/>
    <x v="1"/>
  </r>
  <r>
    <x v="12"/>
    <x v="13"/>
    <x v="300"/>
    <x v="249"/>
    <n v="816"/>
    <n v="97099504"/>
    <x v="1"/>
  </r>
  <r>
    <x v="12"/>
    <x v="14"/>
    <x v="300"/>
    <x v="115"/>
    <n v="1214"/>
    <n v="97076301"/>
    <x v="1"/>
  </r>
  <r>
    <x v="12"/>
    <x v="15"/>
    <x v="317"/>
    <x v="250"/>
    <n v="1433"/>
    <n v="97093508"/>
    <x v="1"/>
  </r>
  <r>
    <x v="12"/>
    <x v="16"/>
    <x v="318"/>
    <x v="226"/>
    <n v="776"/>
    <n v="87408915"/>
    <x v="1"/>
  </r>
  <r>
    <x v="12"/>
    <x v="17"/>
    <x v="319"/>
    <x v="3"/>
    <n v="583"/>
    <n v="87457722"/>
    <x v="0"/>
  </r>
  <r>
    <x v="12"/>
    <x v="18"/>
    <x v="320"/>
    <x v="77"/>
    <n v="1075"/>
    <n v="87440038"/>
    <x v="1"/>
  </r>
  <r>
    <x v="12"/>
    <x v="19"/>
    <x v="321"/>
    <x v="243"/>
    <n v="1545"/>
    <n v="87418924"/>
    <x v="1"/>
  </r>
  <r>
    <x v="12"/>
    <x v="20"/>
    <x v="322"/>
    <x v="29"/>
    <n v="783"/>
    <n v="97094318"/>
    <x v="1"/>
  </r>
  <r>
    <x v="12"/>
    <x v="21"/>
    <x v="323"/>
    <x v="2"/>
    <n v="500"/>
    <n v="97090372"/>
    <x v="1"/>
  </r>
  <r>
    <x v="12"/>
    <x v="22"/>
    <x v="324"/>
    <x v="56"/>
    <n v="512"/>
    <n v="97109572"/>
    <x v="1"/>
  </r>
  <r>
    <x v="12"/>
    <x v="23"/>
    <x v="325"/>
    <x v="14"/>
    <n v="602"/>
    <n v="87418120"/>
    <x v="1"/>
  </r>
  <r>
    <x v="12"/>
    <x v="24"/>
    <x v="326"/>
    <x v="251"/>
    <n v="1027"/>
    <n v="97094319"/>
    <x v="1"/>
  </r>
  <r>
    <x v="13"/>
    <x v="0"/>
    <x v="327"/>
    <x v="252"/>
    <n v="500"/>
    <n v="97085381"/>
    <x v="0"/>
  </r>
  <r>
    <x v="13"/>
    <x v="1"/>
    <x v="327"/>
    <x v="253"/>
    <n v="500"/>
    <n v="97108462"/>
    <x v="0"/>
  </r>
  <r>
    <x v="13"/>
    <x v="2"/>
    <x v="328"/>
    <x v="254"/>
    <n v="500"/>
    <n v="97102483"/>
    <x v="1"/>
  </r>
  <r>
    <x v="13"/>
    <x v="3"/>
    <x v="329"/>
    <x v="255"/>
    <n v="500"/>
    <n v="97112729"/>
    <x v="1"/>
  </r>
  <r>
    <x v="13"/>
    <x v="4"/>
    <x v="330"/>
    <x v="256"/>
    <n v="500"/>
    <n v="97073394"/>
    <x v="0"/>
  </r>
  <r>
    <x v="13"/>
    <x v="5"/>
    <x v="331"/>
    <x v="257"/>
    <n v="500"/>
    <n v="87459274"/>
    <x v="0"/>
  </r>
  <r>
    <x v="13"/>
    <x v="6"/>
    <x v="332"/>
    <x v="258"/>
    <n v="500"/>
    <n v="97077627"/>
    <x v="0"/>
  </r>
  <r>
    <x v="13"/>
    <x v="7"/>
    <x v="333"/>
    <x v="181"/>
    <n v="500"/>
    <n v="97110728"/>
    <x v="1"/>
  </r>
  <r>
    <x v="13"/>
    <x v="8"/>
    <x v="334"/>
    <x v="6"/>
    <n v="734"/>
    <n v="3553601"/>
    <x v="0"/>
  </r>
  <r>
    <x v="13"/>
    <x v="9"/>
    <x v="335"/>
    <x v="104"/>
    <n v="593"/>
    <n v="97064418"/>
    <x v="1"/>
  </r>
  <r>
    <x v="13"/>
    <x v="10"/>
    <x v="336"/>
    <x v="259"/>
    <n v="500"/>
    <n v="97110454"/>
    <x v="1"/>
  </r>
  <r>
    <x v="13"/>
    <x v="11"/>
    <x v="337"/>
    <x v="85"/>
    <n v="500"/>
    <n v="97083407"/>
    <x v="0"/>
  </r>
  <r>
    <x v="13"/>
    <x v="12"/>
    <x v="338"/>
    <x v="79"/>
    <n v="500"/>
    <n v="97057767"/>
    <x v="1"/>
  </r>
  <r>
    <x v="13"/>
    <x v="13"/>
    <x v="338"/>
    <x v="260"/>
    <n v="500"/>
    <n v="97057768"/>
    <x v="1"/>
  </r>
  <r>
    <x v="13"/>
    <x v="14"/>
    <x v="338"/>
    <x v="261"/>
    <n v="500"/>
    <n v="97110718"/>
    <x v="1"/>
  </r>
  <r>
    <x v="13"/>
    <x v="15"/>
    <x v="339"/>
    <x v="181"/>
    <n v="500"/>
    <n v="97103320"/>
    <x v="0"/>
  </r>
  <r>
    <x v="13"/>
    <x v="16"/>
    <x v="340"/>
    <x v="262"/>
    <n v="1164"/>
    <n v="87424780"/>
    <x v="1"/>
  </r>
  <r>
    <x v="13"/>
    <x v="17"/>
    <x v="341"/>
    <x v="90"/>
    <n v="500"/>
    <n v="97103033"/>
    <x v="0"/>
  </r>
  <r>
    <x v="13"/>
    <x v="18"/>
    <x v="342"/>
    <x v="70"/>
    <n v="500"/>
    <n v="97110729"/>
    <x v="1"/>
  </r>
  <r>
    <x v="13"/>
    <x v="19"/>
    <x v="343"/>
    <x v="110"/>
    <n v="870"/>
    <n v="55354375"/>
    <x v="1"/>
  </r>
  <r>
    <x v="13"/>
    <x v="20"/>
    <x v="343"/>
    <x v="209"/>
    <n v="537"/>
    <n v="87462933"/>
    <x v="1"/>
  </r>
  <r>
    <x v="13"/>
    <x v="21"/>
    <x v="343"/>
    <x v="263"/>
    <n v="1060"/>
    <n v="87431801"/>
    <x v="1"/>
  </r>
  <r>
    <x v="13"/>
    <x v="22"/>
    <x v="343"/>
    <x v="203"/>
    <n v="514"/>
    <n v="87462934"/>
    <x v="1"/>
  </r>
  <r>
    <x v="13"/>
    <x v="23"/>
    <x v="344"/>
    <x v="113"/>
    <n v="740"/>
    <n v="87408935"/>
    <x v="1"/>
  </r>
  <r>
    <x v="13"/>
    <x v="24"/>
    <x v="345"/>
    <x v="264"/>
    <n v="1121"/>
    <n v="55329206"/>
    <x v="1"/>
  </r>
  <r>
    <x v="13"/>
    <x v="25"/>
    <x v="345"/>
    <x v="265"/>
    <n v="500"/>
    <n v="97111721"/>
    <x v="1"/>
  </r>
  <r>
    <x v="13"/>
    <x v="26"/>
    <x v="346"/>
    <x v="266"/>
    <n v="1159"/>
    <n v="97060287"/>
    <x v="1"/>
  </r>
  <r>
    <x v="13"/>
    <x v="27"/>
    <x v="346"/>
    <x v="179"/>
    <n v="716"/>
    <n v="97076944"/>
    <x v="1"/>
  </r>
  <r>
    <x v="13"/>
    <x v="28"/>
    <x v="347"/>
    <x v="147"/>
    <n v="656"/>
    <n v="55342187"/>
    <x v="0"/>
  </r>
  <r>
    <x v="13"/>
    <x v="29"/>
    <x v="348"/>
    <x v="29"/>
    <n v="500"/>
    <n v="97102484"/>
    <x v="1"/>
  </r>
  <r>
    <x v="13"/>
    <x v="30"/>
    <x v="349"/>
    <x v="267"/>
    <n v="500"/>
    <n v="97105411"/>
    <x v="0"/>
  </r>
  <r>
    <x v="13"/>
    <x v="31"/>
    <x v="350"/>
    <x v="193"/>
    <n v="500"/>
    <n v="97110455"/>
    <x v="1"/>
  </r>
  <r>
    <x v="13"/>
    <x v="32"/>
    <x v="351"/>
    <x v="145"/>
    <n v="500"/>
    <n v="97112251"/>
    <x v="1"/>
  </r>
  <r>
    <x v="13"/>
    <x v="33"/>
    <x v="352"/>
    <x v="52"/>
    <n v="593"/>
    <n v="97072260"/>
    <x v="1"/>
  </r>
  <r>
    <x v="13"/>
    <x v="34"/>
    <x v="353"/>
    <x v="268"/>
    <n v="500"/>
    <n v="97076978"/>
    <x v="1"/>
  </r>
  <r>
    <x v="13"/>
    <x v="35"/>
    <x v="354"/>
    <x v="78"/>
    <n v="500"/>
    <n v="97110731"/>
    <x v="1"/>
  </r>
  <r>
    <x v="13"/>
    <x v="36"/>
    <x v="355"/>
    <x v="269"/>
    <n v="500"/>
    <n v="97112530"/>
    <x v="1"/>
  </r>
  <r>
    <x v="13"/>
    <x v="37"/>
    <x v="356"/>
    <x v="270"/>
    <n v="500"/>
    <n v="97068870"/>
    <x v="0"/>
  </r>
  <r>
    <x v="13"/>
    <x v="38"/>
    <x v="356"/>
    <x v="271"/>
    <n v="500"/>
    <n v="97068871"/>
    <x v="0"/>
  </r>
  <r>
    <x v="13"/>
    <x v="39"/>
    <x v="356"/>
    <x v="272"/>
    <n v="500"/>
    <n v="97068872"/>
    <x v="0"/>
  </r>
  <r>
    <x v="13"/>
    <x v="40"/>
    <x v="357"/>
    <x v="174"/>
    <n v="796"/>
    <n v="97110456"/>
    <x v="1"/>
  </r>
  <r>
    <x v="13"/>
    <x v="41"/>
    <x v="358"/>
    <x v="11"/>
    <n v="775"/>
    <n v="55338728"/>
    <x v="1"/>
  </r>
  <r>
    <x v="13"/>
    <x v="42"/>
    <x v="359"/>
    <x v="273"/>
    <n v="889"/>
    <n v="87425027"/>
    <x v="1"/>
  </r>
  <r>
    <x v="13"/>
    <x v="43"/>
    <x v="360"/>
    <x v="101"/>
    <n v="979"/>
    <n v="87446335"/>
    <x v="0"/>
  </r>
  <r>
    <x v="13"/>
    <x v="44"/>
    <x v="360"/>
    <x v="77"/>
    <n v="624"/>
    <n v="87446726"/>
    <x v="0"/>
  </r>
  <r>
    <x v="13"/>
    <x v="45"/>
    <x v="361"/>
    <x v="145"/>
    <n v="500"/>
    <n v="97104000"/>
    <x v="0"/>
  </r>
  <r>
    <x v="13"/>
    <x v="46"/>
    <x v="362"/>
    <x v="274"/>
    <n v="500"/>
    <n v="87465351"/>
    <x v="0"/>
  </r>
  <r>
    <x v="13"/>
    <x v="47"/>
    <x v="363"/>
    <x v="275"/>
    <n v="500"/>
    <n v="87443947"/>
    <x v="1"/>
  </r>
  <r>
    <x v="13"/>
    <x v="48"/>
    <x v="363"/>
    <x v="276"/>
    <n v="500"/>
    <n v="87458739"/>
    <x v="1"/>
  </r>
  <r>
    <x v="13"/>
    <x v="49"/>
    <x v="364"/>
    <x v="277"/>
    <n v="500"/>
    <n v="97110457"/>
    <x v="1"/>
  </r>
  <r>
    <x v="13"/>
    <x v="50"/>
    <x v="293"/>
    <x v="1"/>
    <n v="583"/>
    <n v="97103321"/>
    <x v="1"/>
  </r>
  <r>
    <x v="13"/>
    <x v="51"/>
    <x v="365"/>
    <x v="116"/>
    <n v="500"/>
    <n v="97095261"/>
    <x v="0"/>
  </r>
  <r>
    <x v="13"/>
    <x v="52"/>
    <x v="366"/>
    <x v="90"/>
    <n v="1277"/>
    <n v="97103322"/>
    <x v="0"/>
  </r>
  <r>
    <x v="13"/>
    <x v="53"/>
    <x v="367"/>
    <x v="193"/>
    <n v="500"/>
    <n v="97103034"/>
    <x v="0"/>
  </r>
  <r>
    <x v="13"/>
    <x v="54"/>
    <x v="368"/>
    <x v="278"/>
    <n v="500"/>
    <n v="97104001"/>
    <x v="0"/>
  </r>
  <r>
    <x v="13"/>
    <x v="55"/>
    <x v="369"/>
    <x v="279"/>
    <n v="500"/>
    <n v="87446697"/>
    <x v="1"/>
  </r>
  <r>
    <x v="13"/>
    <x v="56"/>
    <x v="370"/>
    <x v="184"/>
    <n v="500"/>
    <n v="97105412"/>
    <x v="0"/>
  </r>
  <r>
    <x v="13"/>
    <x v="57"/>
    <x v="371"/>
    <x v="52"/>
    <n v="574"/>
    <n v="97104002"/>
    <x v="1"/>
  </r>
  <r>
    <x v="13"/>
    <x v="58"/>
    <x v="371"/>
    <x v="280"/>
    <n v="500"/>
    <n v="97110458"/>
    <x v="1"/>
  </r>
  <r>
    <x v="13"/>
    <x v="59"/>
    <x v="372"/>
    <x v="281"/>
    <n v="1169"/>
    <n v="87465360"/>
    <x v="0"/>
  </r>
  <r>
    <x v="13"/>
    <x v="60"/>
    <x v="373"/>
    <x v="282"/>
    <n v="500"/>
    <n v="97107986"/>
    <x v="1"/>
  </r>
  <r>
    <x v="13"/>
    <x v="61"/>
    <x v="374"/>
    <x v="151"/>
    <n v="500"/>
    <n v="97102485"/>
    <x v="1"/>
  </r>
  <r>
    <x v="13"/>
    <x v="62"/>
    <x v="375"/>
    <x v="283"/>
    <n v="892"/>
    <n v="55360512"/>
    <x v="1"/>
  </r>
  <r>
    <x v="13"/>
    <x v="63"/>
    <x v="376"/>
    <x v="284"/>
    <n v="500"/>
    <n v="97064421"/>
    <x v="1"/>
  </r>
  <r>
    <x v="13"/>
    <x v="64"/>
    <x v="377"/>
    <x v="285"/>
    <n v="823"/>
    <n v="87420671"/>
    <x v="1"/>
  </r>
  <r>
    <x v="13"/>
    <x v="65"/>
    <x v="378"/>
    <x v="90"/>
    <n v="1261"/>
    <n v="55340868"/>
    <x v="1"/>
  </r>
  <r>
    <x v="14"/>
    <x v="0"/>
    <x v="379"/>
    <x v="184"/>
    <n v="500"/>
    <n v="97106222"/>
    <x v="0"/>
  </r>
  <r>
    <x v="14"/>
    <x v="1"/>
    <x v="380"/>
    <x v="54"/>
    <n v="1576"/>
    <n v="97083250"/>
    <x v="0"/>
  </r>
  <r>
    <x v="14"/>
    <x v="2"/>
    <x v="381"/>
    <x v="286"/>
    <n v="516"/>
    <n v="97106223"/>
    <x v="0"/>
  </r>
  <r>
    <x v="14"/>
    <x v="3"/>
    <x v="382"/>
    <x v="287"/>
    <n v="764"/>
    <n v="55322759"/>
    <x v="0"/>
  </r>
  <r>
    <x v="14"/>
    <x v="4"/>
    <x v="382"/>
    <x v="288"/>
    <n v="823"/>
    <n v="87414351"/>
    <x v="0"/>
  </r>
  <r>
    <x v="15"/>
    <x v="0"/>
    <x v="75"/>
    <x v="289"/>
    <n v="500"/>
    <n v="97107290"/>
    <x v="0"/>
  </r>
  <r>
    <x v="15"/>
    <x v="1"/>
    <x v="383"/>
    <x v="290"/>
    <n v="500"/>
    <n v="97109055"/>
    <x v="0"/>
  </r>
  <r>
    <x v="15"/>
    <x v="2"/>
    <x v="384"/>
    <x v="291"/>
    <n v="1054"/>
    <n v="55333986"/>
    <x v="1"/>
  </r>
  <r>
    <x v="15"/>
    <x v="3"/>
    <x v="385"/>
    <x v="292"/>
    <n v="887"/>
    <n v="87464064"/>
    <x v="0"/>
  </r>
  <r>
    <x v="15"/>
    <x v="4"/>
    <x v="385"/>
    <x v="293"/>
    <n v="708"/>
    <n v="97088415"/>
    <x v="1"/>
  </r>
  <r>
    <x v="15"/>
    <x v="5"/>
    <x v="385"/>
    <x v="294"/>
    <n v="715"/>
    <n v="97064126"/>
    <x v="0"/>
  </r>
  <r>
    <x v="15"/>
    <x v="6"/>
    <x v="385"/>
    <x v="295"/>
    <n v="646"/>
    <n v="87472332"/>
    <x v="1"/>
  </r>
  <r>
    <x v="15"/>
    <x v="7"/>
    <x v="386"/>
    <x v="3"/>
    <n v="500"/>
    <n v="97102257"/>
    <x v="0"/>
  </r>
  <r>
    <x v="15"/>
    <x v="8"/>
    <x v="387"/>
    <x v="296"/>
    <n v="500"/>
    <n v="97107170"/>
    <x v="0"/>
  </r>
  <r>
    <x v="15"/>
    <x v="9"/>
    <x v="388"/>
    <x v="147"/>
    <n v="936"/>
    <n v="55313292"/>
    <x v="1"/>
  </r>
  <r>
    <x v="15"/>
    <x v="10"/>
    <x v="389"/>
    <x v="297"/>
    <n v="500"/>
    <n v="97107291"/>
    <x v="0"/>
  </r>
  <r>
    <x v="15"/>
    <x v="11"/>
    <x v="390"/>
    <x v="18"/>
    <n v="500"/>
    <n v="97110398"/>
    <x v="1"/>
  </r>
  <r>
    <x v="15"/>
    <x v="12"/>
    <x v="391"/>
    <x v="298"/>
    <n v="500"/>
    <n v="55338761"/>
    <x v="1"/>
  </r>
  <r>
    <x v="15"/>
    <x v="13"/>
    <x v="391"/>
    <x v="41"/>
    <n v="1088"/>
    <n v="3552018"/>
    <x v="1"/>
  </r>
  <r>
    <x v="16"/>
    <x v="0"/>
    <x v="392"/>
    <x v="299"/>
    <n v="1110"/>
    <n v="87461760"/>
    <x v="1"/>
  </r>
  <r>
    <x v="16"/>
    <x v="1"/>
    <x v="393"/>
    <x v="42"/>
    <n v="806"/>
    <n v="97065885"/>
    <x v="0"/>
  </r>
  <r>
    <x v="16"/>
    <x v="2"/>
    <x v="394"/>
    <x v="14"/>
    <n v="550"/>
    <n v="97109923"/>
    <x v="1"/>
  </r>
  <r>
    <x v="16"/>
    <x v="3"/>
    <x v="29"/>
    <x v="33"/>
    <n v="500"/>
    <n v="97081700"/>
    <x v="0"/>
  </r>
  <r>
    <x v="16"/>
    <x v="4"/>
    <x v="395"/>
    <x v="70"/>
    <n v="500"/>
    <n v="97110891"/>
    <x v="1"/>
  </r>
  <r>
    <x v="16"/>
    <x v="5"/>
    <x v="135"/>
    <x v="300"/>
    <n v="500"/>
    <n v="97111597"/>
    <x v="1"/>
  </r>
  <r>
    <x v="16"/>
    <x v="6"/>
    <x v="396"/>
    <x v="226"/>
    <n v="500"/>
    <n v="97079763"/>
    <x v="0"/>
  </r>
  <r>
    <x v="16"/>
    <x v="7"/>
    <x v="397"/>
    <x v="130"/>
    <n v="758"/>
    <n v="97111598"/>
    <x v="1"/>
  </r>
  <r>
    <x v="16"/>
    <x v="8"/>
    <x v="398"/>
    <x v="301"/>
    <n v="883"/>
    <n v="97082899"/>
    <x v="1"/>
  </r>
  <r>
    <x v="16"/>
    <x v="9"/>
    <x v="399"/>
    <x v="53"/>
    <n v="698"/>
    <n v="97087184"/>
    <x v="1"/>
  </r>
  <r>
    <x v="16"/>
    <x v="10"/>
    <x v="400"/>
    <x v="81"/>
    <n v="500"/>
    <n v="97064373"/>
    <x v="1"/>
  </r>
  <r>
    <x v="16"/>
    <x v="11"/>
    <x v="401"/>
    <x v="236"/>
    <n v="500"/>
    <n v="97110997"/>
    <x v="1"/>
  </r>
  <r>
    <x v="16"/>
    <x v="12"/>
    <x v="401"/>
    <x v="302"/>
    <n v="500"/>
    <n v="97103224"/>
    <x v="1"/>
  </r>
  <r>
    <x v="16"/>
    <x v="13"/>
    <x v="402"/>
    <x v="81"/>
    <n v="748"/>
    <n v="55334708"/>
    <x v="1"/>
  </r>
  <r>
    <x v="16"/>
    <x v="14"/>
    <x v="402"/>
    <x v="1"/>
    <n v="501"/>
    <n v="55333664"/>
    <x v="1"/>
  </r>
  <r>
    <x v="16"/>
    <x v="15"/>
    <x v="403"/>
    <x v="72"/>
    <n v="500"/>
    <n v="97109573"/>
    <x v="1"/>
  </r>
  <r>
    <x v="16"/>
    <x v="16"/>
    <x v="404"/>
    <x v="303"/>
    <n v="500"/>
    <n v="97102251"/>
    <x v="0"/>
  </r>
  <r>
    <x v="16"/>
    <x v="17"/>
    <x v="405"/>
    <x v="304"/>
    <n v="500"/>
    <n v="97060143"/>
    <x v="0"/>
  </r>
  <r>
    <x v="16"/>
    <x v="18"/>
    <x v="406"/>
    <x v="305"/>
    <n v="500"/>
    <n v="97102252"/>
    <x v="0"/>
  </r>
  <r>
    <x v="16"/>
    <x v="19"/>
    <x v="407"/>
    <x v="306"/>
    <n v="1318"/>
    <n v="87416160"/>
    <x v="0"/>
  </r>
  <r>
    <x v="16"/>
    <x v="20"/>
    <x v="408"/>
    <x v="307"/>
    <n v="500"/>
    <n v="97095272"/>
    <x v="1"/>
  </r>
  <r>
    <x v="16"/>
    <x v="21"/>
    <x v="409"/>
    <x v="308"/>
    <n v="531"/>
    <n v="97105669"/>
    <x v="0"/>
  </r>
  <r>
    <x v="16"/>
    <x v="22"/>
    <x v="410"/>
    <x v="309"/>
    <n v="621"/>
    <n v="87458320"/>
    <x v="1"/>
  </r>
  <r>
    <x v="16"/>
    <x v="23"/>
    <x v="411"/>
    <x v="14"/>
    <n v="500"/>
    <n v="97065882"/>
    <x v="1"/>
  </r>
  <r>
    <x v="16"/>
    <x v="24"/>
    <x v="412"/>
    <x v="104"/>
    <n v="500"/>
    <n v="97084112"/>
    <x v="1"/>
  </r>
  <r>
    <x v="16"/>
    <x v="25"/>
    <x v="412"/>
    <x v="310"/>
    <n v="500"/>
    <n v="97101743"/>
    <x v="1"/>
  </r>
  <r>
    <x v="16"/>
    <x v="26"/>
    <x v="413"/>
    <x v="311"/>
    <n v="500"/>
    <n v="97057320"/>
    <x v="1"/>
  </r>
  <r>
    <x v="16"/>
    <x v="27"/>
    <x v="413"/>
    <x v="309"/>
    <n v="500"/>
    <n v="97076840"/>
    <x v="1"/>
  </r>
  <r>
    <x v="16"/>
    <x v="28"/>
    <x v="414"/>
    <x v="50"/>
    <n v="734"/>
    <n v="87428684"/>
    <x v="1"/>
  </r>
  <r>
    <x v="16"/>
    <x v="29"/>
    <x v="415"/>
    <x v="312"/>
    <n v="500"/>
    <n v="97090232"/>
    <x v="1"/>
  </r>
  <r>
    <x v="16"/>
    <x v="30"/>
    <x v="416"/>
    <x v="44"/>
    <n v="680"/>
    <n v="55323663"/>
    <x v="0"/>
  </r>
  <r>
    <x v="16"/>
    <x v="31"/>
    <x v="417"/>
    <x v="268"/>
    <n v="535"/>
    <n v="97075704"/>
    <x v="1"/>
  </r>
  <r>
    <x v="16"/>
    <x v="32"/>
    <x v="418"/>
    <x v="102"/>
    <n v="744"/>
    <n v="97082051"/>
    <x v="1"/>
  </r>
  <r>
    <x v="16"/>
    <x v="33"/>
    <x v="419"/>
    <x v="313"/>
    <n v="561"/>
    <n v="97086141"/>
    <x v="1"/>
  </r>
  <r>
    <x v="16"/>
    <x v="34"/>
    <x v="420"/>
    <x v="314"/>
    <n v="1116"/>
    <n v="97082445"/>
    <x v="1"/>
  </r>
  <r>
    <x v="16"/>
    <x v="35"/>
    <x v="420"/>
    <x v="315"/>
    <n v="500"/>
    <n v="97111599"/>
    <x v="1"/>
  </r>
  <r>
    <x v="16"/>
    <x v="36"/>
    <x v="421"/>
    <x v="316"/>
    <n v="500"/>
    <n v="97106826"/>
    <x v="1"/>
  </r>
  <r>
    <x v="16"/>
    <x v="37"/>
    <x v="422"/>
    <x v="317"/>
    <n v="500"/>
    <n v="97064376"/>
    <x v="0"/>
  </r>
  <r>
    <x v="16"/>
    <x v="38"/>
    <x v="423"/>
    <x v="318"/>
    <n v="500"/>
    <n v="87462253"/>
    <x v="1"/>
  </r>
  <r>
    <x v="16"/>
    <x v="39"/>
    <x v="424"/>
    <x v="6"/>
    <n v="500"/>
    <n v="97102254"/>
    <x v="0"/>
  </r>
  <r>
    <x v="16"/>
    <x v="40"/>
    <x v="425"/>
    <x v="231"/>
    <n v="737"/>
    <n v="55363505"/>
    <x v="0"/>
  </r>
  <r>
    <x v="16"/>
    <x v="41"/>
    <x v="426"/>
    <x v="187"/>
    <n v="500"/>
    <n v="87468547"/>
    <x v="1"/>
  </r>
  <r>
    <x v="16"/>
    <x v="42"/>
    <x v="427"/>
    <x v="319"/>
    <n v="500"/>
    <n v="97111600"/>
    <x v="1"/>
  </r>
  <r>
    <x v="16"/>
    <x v="43"/>
    <x v="428"/>
    <x v="320"/>
    <n v="500"/>
    <n v="87457280"/>
    <x v="0"/>
  </r>
  <r>
    <x v="16"/>
    <x v="44"/>
    <x v="429"/>
    <x v="321"/>
    <n v="500"/>
    <n v="97104956"/>
    <x v="0"/>
  </r>
  <r>
    <x v="16"/>
    <x v="45"/>
    <x v="430"/>
    <x v="80"/>
    <n v="524"/>
    <n v="97103025"/>
    <x v="1"/>
  </r>
  <r>
    <x v="16"/>
    <x v="46"/>
    <x v="431"/>
    <x v="322"/>
    <n v="500"/>
    <n v="87421349"/>
    <x v="1"/>
  </r>
  <r>
    <x v="16"/>
    <x v="47"/>
    <x v="432"/>
    <x v="323"/>
    <n v="500"/>
    <n v="87466968"/>
    <x v="1"/>
  </r>
  <r>
    <x v="16"/>
    <x v="48"/>
    <x v="433"/>
    <x v="3"/>
    <n v="500"/>
    <n v="97083874"/>
    <x v="0"/>
  </r>
  <r>
    <x v="16"/>
    <x v="49"/>
    <x v="433"/>
    <x v="215"/>
    <n v="500"/>
    <n v="97076843"/>
    <x v="1"/>
  </r>
  <r>
    <x v="16"/>
    <x v="50"/>
    <x v="433"/>
    <x v="164"/>
    <n v="500"/>
    <n v="97067437"/>
    <x v="1"/>
  </r>
  <r>
    <x v="16"/>
    <x v="51"/>
    <x v="434"/>
    <x v="324"/>
    <n v="500"/>
    <n v="97076844"/>
    <x v="1"/>
  </r>
  <r>
    <x v="16"/>
    <x v="52"/>
    <x v="434"/>
    <x v="325"/>
    <n v="500"/>
    <n v="97067438"/>
    <x v="1"/>
  </r>
  <r>
    <x v="16"/>
    <x v="53"/>
    <x v="435"/>
    <x v="279"/>
    <n v="500"/>
    <n v="97103365"/>
    <x v="1"/>
  </r>
  <r>
    <x v="16"/>
    <x v="54"/>
    <x v="436"/>
    <x v="326"/>
    <n v="500"/>
    <n v="87421271"/>
    <x v="0"/>
  </r>
  <r>
    <x v="16"/>
    <x v="55"/>
    <x v="436"/>
    <x v="226"/>
    <n v="500"/>
    <n v="87421350"/>
    <x v="1"/>
  </r>
  <r>
    <x v="16"/>
    <x v="56"/>
    <x v="437"/>
    <x v="327"/>
    <n v="553"/>
    <n v="87449636"/>
    <x v="1"/>
  </r>
  <r>
    <x v="16"/>
    <x v="57"/>
    <x v="437"/>
    <x v="271"/>
    <n v="500"/>
    <n v="97083732"/>
    <x v="1"/>
  </r>
  <r>
    <x v="16"/>
    <x v="58"/>
    <x v="438"/>
    <x v="48"/>
    <n v="500"/>
    <n v="47348016"/>
    <x v="1"/>
  </r>
  <r>
    <x v="16"/>
    <x v="59"/>
    <x v="439"/>
    <x v="328"/>
    <n v="500"/>
    <n v="97106827"/>
    <x v="0"/>
  </r>
  <r>
    <x v="16"/>
    <x v="60"/>
    <x v="440"/>
    <x v="329"/>
    <n v="500"/>
    <n v="97093264"/>
    <x v="1"/>
  </r>
  <r>
    <x v="16"/>
    <x v="61"/>
    <x v="441"/>
    <x v="90"/>
    <n v="642"/>
    <n v="97066637"/>
    <x v="1"/>
  </r>
  <r>
    <x v="16"/>
    <x v="62"/>
    <x v="442"/>
    <x v="114"/>
    <n v="500"/>
    <n v="97109569"/>
    <x v="1"/>
  </r>
  <r>
    <x v="16"/>
    <x v="63"/>
    <x v="443"/>
    <x v="203"/>
    <n v="1236"/>
    <n v="97083248"/>
    <x v="1"/>
  </r>
  <r>
    <x v="16"/>
    <x v="64"/>
    <x v="444"/>
    <x v="90"/>
    <n v="1131"/>
    <n v="97083240"/>
    <x v="1"/>
  </r>
  <r>
    <x v="16"/>
    <x v="65"/>
    <x v="445"/>
    <x v="330"/>
    <n v="500"/>
    <n v="97067442"/>
    <x v="1"/>
  </r>
  <r>
    <x v="16"/>
    <x v="66"/>
    <x v="446"/>
    <x v="331"/>
    <n v="500"/>
    <n v="97110715"/>
    <x v="1"/>
  </r>
  <r>
    <x v="16"/>
    <x v="67"/>
    <x v="446"/>
    <x v="332"/>
    <n v="500"/>
    <n v="87457336"/>
    <x v="1"/>
  </r>
  <r>
    <x v="16"/>
    <x v="68"/>
    <x v="447"/>
    <x v="115"/>
    <n v="1016"/>
    <n v="97057828"/>
    <x v="1"/>
  </r>
  <r>
    <x v="16"/>
    <x v="69"/>
    <x v="448"/>
    <x v="312"/>
    <n v="500"/>
    <n v="97101744"/>
    <x v="0"/>
  </r>
  <r>
    <x v="16"/>
    <x v="70"/>
    <x v="449"/>
    <x v="184"/>
    <n v="500"/>
    <n v="97056335"/>
    <x v="1"/>
  </r>
  <r>
    <x v="16"/>
    <x v="71"/>
    <x v="450"/>
    <x v="140"/>
    <n v="506"/>
    <n v="97102465"/>
    <x v="0"/>
  </r>
  <r>
    <x v="16"/>
    <x v="72"/>
    <x v="451"/>
    <x v="333"/>
    <n v="522"/>
    <n v="97089259"/>
    <x v="1"/>
  </r>
  <r>
    <x v="16"/>
    <x v="73"/>
    <x v="451"/>
    <x v="334"/>
    <n v="615"/>
    <n v="97089260"/>
    <x v="1"/>
  </r>
  <r>
    <x v="16"/>
    <x v="74"/>
    <x v="452"/>
    <x v="335"/>
    <n v="511"/>
    <n v="87463609"/>
    <x v="1"/>
  </r>
  <r>
    <x v="16"/>
    <x v="75"/>
    <x v="453"/>
    <x v="3"/>
    <n v="1446"/>
    <n v="55330259"/>
    <x v="1"/>
  </r>
  <r>
    <x v="16"/>
    <x v="76"/>
    <x v="454"/>
    <x v="336"/>
    <n v="500"/>
    <n v="97057333"/>
    <x v="1"/>
  </r>
  <r>
    <x v="16"/>
    <x v="77"/>
    <x v="455"/>
    <x v="14"/>
    <n v="1134"/>
    <n v="87412089"/>
    <x v="1"/>
  </r>
  <r>
    <x v="16"/>
    <x v="78"/>
    <x v="456"/>
    <x v="77"/>
    <n v="763"/>
    <n v="45016192"/>
    <x v="1"/>
  </r>
  <r>
    <x v="16"/>
    <x v="79"/>
    <x v="456"/>
    <x v="337"/>
    <n v="500"/>
    <n v="55330262"/>
    <x v="1"/>
  </r>
  <r>
    <x v="16"/>
    <x v="80"/>
    <x v="457"/>
    <x v="338"/>
    <n v="967"/>
    <n v="55359577"/>
    <x v="0"/>
  </r>
  <r>
    <x v="16"/>
    <x v="81"/>
    <x v="458"/>
    <x v="2"/>
    <n v="1350"/>
    <n v="55333623"/>
    <x v="0"/>
  </r>
  <r>
    <x v="16"/>
    <x v="82"/>
    <x v="459"/>
    <x v="90"/>
    <n v="1671"/>
    <n v="87417565"/>
    <x v="1"/>
  </r>
  <r>
    <x v="16"/>
    <x v="83"/>
    <x v="460"/>
    <x v="339"/>
    <n v="500"/>
    <n v="97109570"/>
    <x v="1"/>
  </r>
  <r>
    <x v="16"/>
    <x v="84"/>
    <x v="235"/>
    <x v="24"/>
    <n v="507"/>
    <n v="97074806"/>
    <x v="1"/>
  </r>
  <r>
    <x v="16"/>
    <x v="85"/>
    <x v="235"/>
    <x v="340"/>
    <n v="833"/>
    <n v="97064194"/>
    <x v="1"/>
  </r>
  <r>
    <x v="16"/>
    <x v="86"/>
    <x v="43"/>
    <x v="341"/>
    <n v="500"/>
    <n v="97110892"/>
    <x v="1"/>
  </r>
  <r>
    <x v="16"/>
    <x v="87"/>
    <x v="461"/>
    <x v="15"/>
    <n v="500"/>
    <n v="97111601"/>
    <x v="1"/>
  </r>
  <r>
    <x v="16"/>
    <x v="88"/>
    <x v="462"/>
    <x v="342"/>
    <n v="817"/>
    <n v="87457307"/>
    <x v="1"/>
  </r>
  <r>
    <x v="16"/>
    <x v="89"/>
    <x v="462"/>
    <x v="221"/>
    <n v="500"/>
    <n v="97057337"/>
    <x v="0"/>
  </r>
  <r>
    <x v="16"/>
    <x v="90"/>
    <x v="463"/>
    <x v="327"/>
    <n v="500"/>
    <n v="97103882"/>
    <x v="0"/>
  </r>
  <r>
    <x v="16"/>
    <x v="91"/>
    <x v="464"/>
    <x v="343"/>
    <n v="784"/>
    <n v="87428683"/>
    <x v="1"/>
  </r>
  <r>
    <x v="16"/>
    <x v="92"/>
    <x v="464"/>
    <x v="344"/>
    <n v="536"/>
    <n v="87428681"/>
    <x v="1"/>
  </r>
  <r>
    <x v="16"/>
    <x v="93"/>
    <x v="465"/>
    <x v="345"/>
    <n v="500"/>
    <n v="97111492"/>
    <x v="1"/>
  </r>
  <r>
    <x v="16"/>
    <x v="94"/>
    <x v="465"/>
    <x v="144"/>
    <n v="500"/>
    <n v="97111493"/>
    <x v="1"/>
  </r>
  <r>
    <x v="16"/>
    <x v="95"/>
    <x v="466"/>
    <x v="346"/>
    <n v="500"/>
    <n v="87467323"/>
    <x v="0"/>
  </r>
  <r>
    <x v="16"/>
    <x v="96"/>
    <x v="467"/>
    <x v="110"/>
    <n v="645"/>
    <n v="97102255"/>
    <x v="1"/>
  </r>
  <r>
    <x v="16"/>
    <x v="97"/>
    <x v="468"/>
    <x v="347"/>
    <n v="737"/>
    <n v="97093266"/>
    <x v="1"/>
  </r>
  <r>
    <x v="16"/>
    <x v="98"/>
    <x v="469"/>
    <x v="14"/>
    <n v="1251"/>
    <n v="3552691"/>
    <x v="1"/>
  </r>
  <r>
    <x v="16"/>
    <x v="99"/>
    <x v="469"/>
    <x v="104"/>
    <n v="1643"/>
    <n v="87410197"/>
    <x v="1"/>
  </r>
  <r>
    <x v="16"/>
    <x v="100"/>
    <x v="470"/>
    <x v="9"/>
    <n v="500"/>
    <n v="97108346"/>
    <x v="0"/>
  </r>
  <r>
    <x v="16"/>
    <x v="101"/>
    <x v="471"/>
    <x v="348"/>
    <n v="500"/>
    <n v="87465605"/>
    <x v="1"/>
  </r>
  <r>
    <x v="16"/>
    <x v="102"/>
    <x v="366"/>
    <x v="179"/>
    <n v="500"/>
    <n v="87457311"/>
    <x v="0"/>
  </r>
  <r>
    <x v="16"/>
    <x v="103"/>
    <x v="472"/>
    <x v="349"/>
    <n v="500"/>
    <n v="55365268"/>
    <x v="1"/>
  </r>
  <r>
    <x v="16"/>
    <x v="104"/>
    <x v="472"/>
    <x v="6"/>
    <n v="500"/>
    <n v="97060170"/>
    <x v="1"/>
  </r>
  <r>
    <x v="16"/>
    <x v="105"/>
    <x v="473"/>
    <x v="350"/>
    <n v="500"/>
    <n v="97111494"/>
    <x v="1"/>
  </r>
  <r>
    <x v="16"/>
    <x v="106"/>
    <x v="473"/>
    <x v="351"/>
    <n v="500"/>
    <n v="97056353"/>
    <x v="1"/>
  </r>
  <r>
    <x v="16"/>
    <x v="107"/>
    <x v="474"/>
    <x v="279"/>
    <n v="500"/>
    <n v="97080323"/>
    <x v="0"/>
  </r>
  <r>
    <x v="16"/>
    <x v="108"/>
    <x v="474"/>
    <x v="140"/>
    <n v="952"/>
    <n v="87456624"/>
    <x v="1"/>
  </r>
  <r>
    <x v="16"/>
    <x v="109"/>
    <x v="475"/>
    <x v="352"/>
    <n v="541"/>
    <n v="97090233"/>
    <x v="1"/>
  </r>
  <r>
    <x v="16"/>
    <x v="110"/>
    <x v="476"/>
    <x v="80"/>
    <n v="500"/>
    <n v="97105771"/>
    <x v="0"/>
  </r>
  <r>
    <x v="16"/>
    <x v="111"/>
    <x v="477"/>
    <x v="353"/>
    <n v="500"/>
    <n v="97111883"/>
    <x v="1"/>
  </r>
  <r>
    <x v="16"/>
    <x v="112"/>
    <x v="478"/>
    <x v="193"/>
    <n v="500"/>
    <n v="97067455"/>
    <x v="1"/>
  </r>
  <r>
    <x v="16"/>
    <x v="113"/>
    <x v="479"/>
    <x v="80"/>
    <n v="680"/>
    <n v="97065884"/>
    <x v="1"/>
  </r>
  <r>
    <x v="16"/>
    <x v="114"/>
    <x v="480"/>
    <x v="332"/>
    <n v="500"/>
    <n v="97077566"/>
    <x v="1"/>
  </r>
  <r>
    <x v="16"/>
    <x v="115"/>
    <x v="481"/>
    <x v="175"/>
    <n v="1095"/>
    <n v="55359574"/>
    <x v="1"/>
  </r>
  <r>
    <x v="16"/>
    <x v="116"/>
    <x v="482"/>
    <x v="354"/>
    <n v="500"/>
    <n v="97110893"/>
    <x v="1"/>
  </r>
  <r>
    <x v="16"/>
    <x v="117"/>
    <x v="483"/>
    <x v="236"/>
    <n v="500"/>
    <n v="87411810"/>
    <x v="1"/>
  </r>
  <r>
    <x v="16"/>
    <x v="118"/>
    <x v="288"/>
    <x v="355"/>
    <n v="826"/>
    <n v="87421176"/>
    <x v="1"/>
  </r>
  <r>
    <x v="16"/>
    <x v="119"/>
    <x v="484"/>
    <x v="90"/>
    <n v="500"/>
    <n v="97108235"/>
    <x v="0"/>
  </r>
  <r>
    <x v="16"/>
    <x v="120"/>
    <x v="485"/>
    <x v="356"/>
    <n v="500"/>
    <n v="97111495"/>
    <x v="1"/>
  </r>
  <r>
    <x v="16"/>
    <x v="121"/>
    <x v="378"/>
    <x v="357"/>
    <n v="500"/>
    <n v="97109574"/>
    <x v="1"/>
  </r>
  <r>
    <x v="16"/>
    <x v="122"/>
    <x v="486"/>
    <x v="32"/>
    <n v="933"/>
    <n v="87409325"/>
    <x v="1"/>
  </r>
  <r>
    <x v="16"/>
    <x v="123"/>
    <x v="487"/>
    <x v="358"/>
    <n v="500"/>
    <n v="97101623"/>
    <x v="0"/>
  </r>
  <r>
    <x v="16"/>
    <x v="124"/>
    <x v="488"/>
    <x v="9"/>
    <n v="500"/>
    <n v="97110998"/>
    <x v="1"/>
  </r>
  <r>
    <x v="16"/>
    <x v="125"/>
    <x v="489"/>
    <x v="359"/>
    <n v="946"/>
    <n v="87446311"/>
    <x v="1"/>
  </r>
  <r>
    <x v="17"/>
    <x v="0"/>
    <x v="490"/>
    <x v="11"/>
    <n v="500"/>
    <n v="97102063"/>
    <x v="1"/>
  </r>
  <r>
    <x v="17"/>
    <x v="1"/>
    <x v="491"/>
    <x v="14"/>
    <n v="500"/>
    <n v="97054871"/>
    <x v="0"/>
  </r>
  <r>
    <x v="17"/>
    <x v="2"/>
    <x v="492"/>
    <x v="50"/>
    <n v="500"/>
    <n v="97092914"/>
    <x v="0"/>
  </r>
  <r>
    <x v="17"/>
    <x v="3"/>
    <x v="493"/>
    <x v="250"/>
    <n v="500"/>
    <n v="97086817"/>
    <x v="0"/>
  </r>
  <r>
    <x v="17"/>
    <x v="4"/>
    <x v="494"/>
    <x v="360"/>
    <n v="500"/>
    <n v="97110185"/>
    <x v="1"/>
  </r>
  <r>
    <x v="17"/>
    <x v="5"/>
    <x v="494"/>
    <x v="361"/>
    <n v="500"/>
    <n v="97110186"/>
    <x v="1"/>
  </r>
  <r>
    <x v="17"/>
    <x v="6"/>
    <x v="494"/>
    <x v="230"/>
    <n v="500"/>
    <n v="97110187"/>
    <x v="1"/>
  </r>
  <r>
    <x v="17"/>
    <x v="7"/>
    <x v="495"/>
    <x v="362"/>
    <n v="500"/>
    <n v="97111667"/>
    <x v="1"/>
  </r>
  <r>
    <x v="17"/>
    <x v="8"/>
    <x v="496"/>
    <x v="363"/>
    <n v="500"/>
    <n v="97092916"/>
    <x v="1"/>
  </r>
  <r>
    <x v="17"/>
    <x v="9"/>
    <x v="497"/>
    <x v="124"/>
    <n v="500"/>
    <n v="87449633"/>
    <x v="0"/>
  </r>
  <r>
    <x v="17"/>
    <x v="10"/>
    <x v="498"/>
    <x v="364"/>
    <n v="500"/>
    <n v="97109862"/>
    <x v="1"/>
  </r>
  <r>
    <x v="17"/>
    <x v="11"/>
    <x v="499"/>
    <x v="14"/>
    <n v="640"/>
    <n v="55342614"/>
    <x v="0"/>
  </r>
  <r>
    <x v="17"/>
    <x v="12"/>
    <x v="414"/>
    <x v="48"/>
    <n v="693"/>
    <n v="55345500"/>
    <x v="1"/>
  </r>
  <r>
    <x v="17"/>
    <x v="13"/>
    <x v="500"/>
    <x v="365"/>
    <n v="500"/>
    <n v="97102064"/>
    <x v="0"/>
  </r>
  <r>
    <x v="17"/>
    <x v="14"/>
    <x v="147"/>
    <x v="366"/>
    <n v="500"/>
    <n v="97103021"/>
    <x v="0"/>
  </r>
  <r>
    <x v="17"/>
    <x v="15"/>
    <x v="501"/>
    <x v="367"/>
    <n v="500"/>
    <n v="87422269"/>
    <x v="1"/>
  </r>
  <r>
    <x v="17"/>
    <x v="16"/>
    <x v="502"/>
    <x v="94"/>
    <n v="500"/>
    <n v="97111668"/>
    <x v="1"/>
  </r>
  <r>
    <x v="17"/>
    <x v="17"/>
    <x v="503"/>
    <x v="368"/>
    <n v="500"/>
    <n v="97110188"/>
    <x v="1"/>
  </r>
  <r>
    <x v="17"/>
    <x v="18"/>
    <x v="504"/>
    <x v="21"/>
    <n v="500"/>
    <n v="97103022"/>
    <x v="1"/>
  </r>
  <r>
    <x v="17"/>
    <x v="19"/>
    <x v="505"/>
    <x v="369"/>
    <n v="500"/>
    <n v="97101746"/>
    <x v="0"/>
  </r>
  <r>
    <x v="17"/>
    <x v="20"/>
    <x v="506"/>
    <x v="370"/>
    <n v="500"/>
    <n v="97106440"/>
    <x v="0"/>
  </r>
  <r>
    <x v="17"/>
    <x v="21"/>
    <x v="507"/>
    <x v="21"/>
    <n v="871"/>
    <n v="87439070"/>
    <x v="1"/>
  </r>
  <r>
    <x v="17"/>
    <x v="22"/>
    <x v="507"/>
    <x v="371"/>
    <n v="500"/>
    <n v="97103363"/>
    <x v="1"/>
  </r>
  <r>
    <x v="17"/>
    <x v="23"/>
    <x v="508"/>
    <x v="372"/>
    <n v="500"/>
    <n v="97073724"/>
    <x v="1"/>
  </r>
  <r>
    <x v="17"/>
    <x v="24"/>
    <x v="509"/>
    <x v="373"/>
    <n v="500"/>
    <n v="97092933"/>
    <x v="1"/>
  </r>
  <r>
    <x v="17"/>
    <x v="25"/>
    <x v="509"/>
    <x v="134"/>
    <n v="500"/>
    <n v="87441925"/>
    <x v="1"/>
  </r>
  <r>
    <x v="17"/>
    <x v="26"/>
    <x v="509"/>
    <x v="8"/>
    <n v="892"/>
    <n v="43325727"/>
    <x v="1"/>
  </r>
  <r>
    <x v="17"/>
    <x v="27"/>
    <x v="510"/>
    <x v="374"/>
    <n v="500"/>
    <n v="97103023"/>
    <x v="0"/>
  </r>
  <r>
    <x v="17"/>
    <x v="28"/>
    <x v="40"/>
    <x v="375"/>
    <n v="500"/>
    <n v="97102065"/>
    <x v="1"/>
  </r>
  <r>
    <x v="17"/>
    <x v="29"/>
    <x v="511"/>
    <x v="3"/>
    <n v="541"/>
    <n v="87450330"/>
    <x v="1"/>
  </r>
  <r>
    <x v="17"/>
    <x v="30"/>
    <x v="512"/>
    <x v="215"/>
    <n v="500"/>
    <n v="97073726"/>
    <x v="1"/>
  </r>
  <r>
    <x v="17"/>
    <x v="31"/>
    <x v="512"/>
    <x v="376"/>
    <n v="500"/>
    <n v="97103364"/>
    <x v="1"/>
  </r>
  <r>
    <x v="17"/>
    <x v="32"/>
    <x v="513"/>
    <x v="286"/>
    <n v="500"/>
    <n v="97098811"/>
    <x v="0"/>
  </r>
  <r>
    <x v="17"/>
    <x v="33"/>
    <x v="514"/>
    <x v="377"/>
    <n v="500"/>
    <n v="97094062"/>
    <x v="0"/>
  </r>
  <r>
    <x v="17"/>
    <x v="34"/>
    <x v="515"/>
    <x v="51"/>
    <n v="500"/>
    <n v="55363510"/>
    <x v="1"/>
  </r>
  <r>
    <x v="17"/>
    <x v="35"/>
    <x v="516"/>
    <x v="79"/>
    <n v="500"/>
    <n v="97083410"/>
    <x v="0"/>
  </r>
  <r>
    <x v="17"/>
    <x v="36"/>
    <x v="517"/>
    <x v="65"/>
    <n v="500"/>
    <n v="97073731"/>
    <x v="1"/>
  </r>
  <r>
    <x v="17"/>
    <x v="37"/>
    <x v="518"/>
    <x v="110"/>
    <n v="751"/>
    <n v="87451528"/>
    <x v="1"/>
  </r>
  <r>
    <x v="17"/>
    <x v="38"/>
    <x v="519"/>
    <x v="378"/>
    <n v="500"/>
    <n v="97111669"/>
    <x v="1"/>
  </r>
  <r>
    <x v="17"/>
    <x v="39"/>
    <x v="520"/>
    <x v="379"/>
    <n v="500"/>
    <n v="97103024"/>
    <x v="1"/>
  </r>
  <r>
    <x v="17"/>
    <x v="40"/>
    <x v="521"/>
    <x v="380"/>
    <n v="500"/>
    <n v="97110189"/>
    <x v="1"/>
  </r>
  <r>
    <x v="17"/>
    <x v="41"/>
    <x v="521"/>
    <x v="381"/>
    <n v="500"/>
    <n v="97110190"/>
    <x v="1"/>
  </r>
  <r>
    <x v="17"/>
    <x v="42"/>
    <x v="522"/>
    <x v="55"/>
    <n v="500"/>
    <n v="97108658"/>
    <x v="1"/>
  </r>
  <r>
    <x v="17"/>
    <x v="43"/>
    <x v="523"/>
    <x v="114"/>
    <n v="500"/>
    <n v="97092917"/>
    <x v="0"/>
  </r>
  <r>
    <x v="17"/>
    <x v="44"/>
    <x v="524"/>
    <x v="23"/>
    <n v="500"/>
    <n v="97101747"/>
    <x v="0"/>
  </r>
  <r>
    <x v="17"/>
    <x v="45"/>
    <x v="525"/>
    <x v="382"/>
    <n v="500"/>
    <n v="97111670"/>
    <x v="1"/>
  </r>
  <r>
    <x v="17"/>
    <x v="46"/>
    <x v="525"/>
    <x v="279"/>
    <n v="500"/>
    <n v="97056359"/>
    <x v="1"/>
  </r>
  <r>
    <x v="17"/>
    <x v="47"/>
    <x v="526"/>
    <x v="383"/>
    <n v="500"/>
    <n v="97101748"/>
    <x v="1"/>
  </r>
  <r>
    <x v="17"/>
    <x v="48"/>
    <x v="527"/>
    <x v="342"/>
    <n v="500"/>
    <n v="87465164"/>
    <x v="1"/>
  </r>
  <r>
    <x v="18"/>
    <x v="0"/>
    <x v="528"/>
    <x v="17"/>
    <n v="500"/>
    <n v="87461743"/>
    <x v="1"/>
  </r>
  <r>
    <x v="18"/>
    <x v="1"/>
    <x v="529"/>
    <x v="384"/>
    <n v="500"/>
    <n v="97105758"/>
    <x v="1"/>
  </r>
  <r>
    <x v="18"/>
    <x v="2"/>
    <x v="530"/>
    <x v="385"/>
    <n v="500"/>
    <n v="97109894"/>
    <x v="1"/>
  </r>
  <r>
    <x v="18"/>
    <x v="3"/>
    <x v="531"/>
    <x v="97"/>
    <n v="500"/>
    <n v="97109895"/>
    <x v="1"/>
  </r>
  <r>
    <x v="18"/>
    <x v="4"/>
    <x v="532"/>
    <x v="386"/>
    <n v="500"/>
    <n v="97073659"/>
    <x v="1"/>
  </r>
  <r>
    <x v="18"/>
    <x v="5"/>
    <x v="533"/>
    <x v="387"/>
    <n v="500"/>
    <n v="97102234"/>
    <x v="1"/>
  </r>
  <r>
    <x v="18"/>
    <x v="6"/>
    <x v="534"/>
    <x v="388"/>
    <n v="500"/>
    <n v="97063455"/>
    <x v="0"/>
  </r>
  <r>
    <x v="18"/>
    <x v="7"/>
    <x v="535"/>
    <x v="389"/>
    <n v="500"/>
    <n v="87458334"/>
    <x v="1"/>
  </r>
  <r>
    <x v="18"/>
    <x v="8"/>
    <x v="536"/>
    <x v="3"/>
    <n v="563"/>
    <n v="97066896"/>
    <x v="1"/>
  </r>
  <r>
    <x v="18"/>
    <x v="9"/>
    <x v="537"/>
    <x v="314"/>
    <n v="500"/>
    <n v="97093556"/>
    <x v="1"/>
  </r>
  <r>
    <x v="18"/>
    <x v="10"/>
    <x v="538"/>
    <x v="226"/>
    <n v="500"/>
    <n v="97088333"/>
    <x v="1"/>
  </r>
  <r>
    <x v="18"/>
    <x v="11"/>
    <x v="539"/>
    <x v="55"/>
    <n v="500"/>
    <n v="87458337"/>
    <x v="1"/>
  </r>
  <r>
    <x v="18"/>
    <x v="12"/>
    <x v="540"/>
    <x v="175"/>
    <n v="500"/>
    <n v="87458338"/>
    <x v="1"/>
  </r>
  <r>
    <x v="18"/>
    <x v="13"/>
    <x v="541"/>
    <x v="390"/>
    <n v="500"/>
    <n v="97108728"/>
    <x v="1"/>
  </r>
  <r>
    <x v="18"/>
    <x v="14"/>
    <x v="542"/>
    <x v="391"/>
    <n v="500"/>
    <n v="87408922"/>
    <x v="1"/>
  </r>
  <r>
    <x v="18"/>
    <x v="15"/>
    <x v="543"/>
    <x v="392"/>
    <n v="500"/>
    <n v="97110739"/>
    <x v="1"/>
  </r>
  <r>
    <x v="18"/>
    <x v="16"/>
    <x v="544"/>
    <x v="393"/>
    <n v="500"/>
    <n v="87466363"/>
    <x v="1"/>
  </r>
  <r>
    <x v="18"/>
    <x v="17"/>
    <x v="545"/>
    <x v="394"/>
    <n v="500"/>
    <n v="97099482"/>
    <x v="0"/>
  </r>
  <r>
    <x v="18"/>
    <x v="18"/>
    <x v="546"/>
    <x v="140"/>
    <n v="500"/>
    <n v="87450385"/>
    <x v="1"/>
  </r>
  <r>
    <x v="18"/>
    <x v="19"/>
    <x v="547"/>
    <x v="73"/>
    <n v="500"/>
    <n v="97104281"/>
    <x v="1"/>
  </r>
  <r>
    <x v="18"/>
    <x v="20"/>
    <x v="547"/>
    <x v="374"/>
    <n v="500"/>
    <n v="97104282"/>
    <x v="1"/>
  </r>
  <r>
    <x v="18"/>
    <x v="21"/>
    <x v="548"/>
    <x v="395"/>
    <n v="500"/>
    <n v="55329632"/>
    <x v="1"/>
  </r>
  <r>
    <x v="18"/>
    <x v="22"/>
    <x v="549"/>
    <x v="140"/>
    <n v="500"/>
    <n v="97102235"/>
    <x v="0"/>
  </r>
  <r>
    <x v="18"/>
    <x v="23"/>
    <x v="550"/>
    <x v="396"/>
    <n v="500"/>
    <n v="87458349"/>
    <x v="1"/>
  </r>
  <r>
    <x v="18"/>
    <x v="24"/>
    <x v="551"/>
    <x v="397"/>
    <n v="677"/>
    <n v="97073674"/>
    <x v="1"/>
  </r>
  <r>
    <x v="18"/>
    <x v="25"/>
    <x v="552"/>
    <x v="7"/>
    <n v="500"/>
    <n v="97109896"/>
    <x v="1"/>
  </r>
  <r>
    <x v="18"/>
    <x v="26"/>
    <x v="320"/>
    <x v="97"/>
    <n v="500"/>
    <n v="97074655"/>
    <x v="1"/>
  </r>
  <r>
    <x v="18"/>
    <x v="27"/>
    <x v="553"/>
    <x v="398"/>
    <n v="500"/>
    <n v="97109897"/>
    <x v="1"/>
  </r>
  <r>
    <x v="18"/>
    <x v="28"/>
    <x v="553"/>
    <x v="18"/>
    <n v="500"/>
    <n v="97109898"/>
    <x v="1"/>
  </r>
  <r>
    <x v="19"/>
    <x v="0"/>
    <x v="554"/>
    <x v="399"/>
    <n v="500"/>
    <n v="97095881"/>
    <x v="1"/>
  </r>
  <r>
    <x v="19"/>
    <x v="1"/>
    <x v="555"/>
    <x v="149"/>
    <n v="500"/>
    <n v="97082049"/>
    <x v="1"/>
  </r>
  <r>
    <x v="19"/>
    <x v="2"/>
    <x v="556"/>
    <x v="400"/>
    <n v="504"/>
    <n v="97103651"/>
    <x v="1"/>
  </r>
  <r>
    <x v="19"/>
    <x v="3"/>
    <x v="557"/>
    <x v="139"/>
    <n v="500"/>
    <n v="97106829"/>
    <x v="1"/>
  </r>
  <r>
    <x v="19"/>
    <x v="4"/>
    <x v="558"/>
    <x v="40"/>
    <n v="500"/>
    <n v="97103650"/>
    <x v="1"/>
  </r>
  <r>
    <x v="19"/>
    <x v="5"/>
    <x v="559"/>
    <x v="401"/>
    <n v="500"/>
    <n v="97103653"/>
    <x v="1"/>
  </r>
  <r>
    <x v="19"/>
    <x v="6"/>
    <x v="340"/>
    <x v="402"/>
    <n v="500"/>
    <n v="55312092"/>
    <x v="1"/>
  </r>
  <r>
    <x v="19"/>
    <x v="7"/>
    <x v="340"/>
    <x v="115"/>
    <n v="565"/>
    <n v="55317959"/>
    <x v="1"/>
  </r>
  <r>
    <x v="19"/>
    <x v="8"/>
    <x v="560"/>
    <x v="130"/>
    <n v="500"/>
    <n v="97103648"/>
    <x v="1"/>
  </r>
  <r>
    <x v="19"/>
    <x v="9"/>
    <x v="561"/>
    <x v="403"/>
    <n v="500"/>
    <n v="97103667"/>
    <x v="1"/>
  </r>
  <r>
    <x v="19"/>
    <x v="10"/>
    <x v="562"/>
    <x v="404"/>
    <n v="500"/>
    <n v="97071963"/>
    <x v="1"/>
  </r>
  <r>
    <x v="19"/>
    <x v="11"/>
    <x v="563"/>
    <x v="60"/>
    <n v="500"/>
    <n v="97087199"/>
    <x v="1"/>
  </r>
  <r>
    <x v="19"/>
    <x v="12"/>
    <x v="564"/>
    <x v="405"/>
    <n v="500"/>
    <n v="97103649"/>
    <x v="1"/>
  </r>
  <r>
    <x v="19"/>
    <x v="13"/>
    <x v="565"/>
    <x v="279"/>
    <n v="508"/>
    <n v="97095897"/>
    <x v="1"/>
  </r>
  <r>
    <x v="19"/>
    <x v="14"/>
    <x v="566"/>
    <x v="113"/>
    <n v="500"/>
    <n v="97103652"/>
    <x v="1"/>
  </r>
  <r>
    <x v="19"/>
    <x v="15"/>
    <x v="43"/>
    <x v="406"/>
    <n v="500"/>
    <n v="97103654"/>
    <x v="1"/>
  </r>
  <r>
    <x v="19"/>
    <x v="16"/>
    <x v="43"/>
    <x v="190"/>
    <n v="500"/>
    <n v="97095884"/>
    <x v="1"/>
  </r>
  <r>
    <x v="19"/>
    <x v="17"/>
    <x v="513"/>
    <x v="407"/>
    <n v="500"/>
    <n v="97073670"/>
    <x v="1"/>
  </r>
  <r>
    <x v="19"/>
    <x v="18"/>
    <x v="567"/>
    <x v="408"/>
    <n v="500"/>
    <n v="97099039"/>
    <x v="1"/>
  </r>
  <r>
    <x v="19"/>
    <x v="19"/>
    <x v="366"/>
    <x v="202"/>
    <n v="500"/>
    <n v="97095886"/>
    <x v="1"/>
  </r>
  <r>
    <x v="19"/>
    <x v="20"/>
    <x v="568"/>
    <x v="260"/>
    <n v="500"/>
    <n v="97066345"/>
    <x v="1"/>
  </r>
  <r>
    <x v="19"/>
    <x v="21"/>
    <x v="568"/>
    <x v="68"/>
    <n v="500"/>
    <n v="97079692"/>
    <x v="1"/>
  </r>
  <r>
    <x v="19"/>
    <x v="22"/>
    <x v="474"/>
    <x v="309"/>
    <n v="500"/>
    <n v="97066632"/>
    <x v="1"/>
  </r>
  <r>
    <x v="19"/>
    <x v="23"/>
    <x v="569"/>
    <x v="84"/>
    <n v="500"/>
    <n v="97107571"/>
    <x v="1"/>
  </r>
  <r>
    <x v="19"/>
    <x v="24"/>
    <x v="570"/>
    <x v="140"/>
    <n v="500"/>
    <n v="97103655"/>
    <x v="1"/>
  </r>
  <r>
    <x v="19"/>
    <x v="25"/>
    <x v="571"/>
    <x v="409"/>
    <n v="500"/>
    <n v="97087201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eau croisé dynamique2" cacheId="0" applyNumberFormats="0" applyBorderFormats="0" applyFontFormats="0" applyPatternFormats="0" applyAlignmentFormats="0" applyWidthHeightFormats="1" dataCaption="Valeurs" updatedVersion="8" minRefreshableVersion="3" showDrill="0" showDataTips="0" rowGrandTotals="0" colGrandTotals="0" itemPrintTitles="1" createdVersion="5" indent="0" compact="0" compactData="0" multipleFieldFilters="0">
  <location ref="AC18:AF144" firstHeaderRow="1" firstDataRow="1" firstDataCol="4" rowPageCount="1" colPageCount="1"/>
  <pivotFields count="7">
    <pivotField axis="axisPage" compact="0" outline="0" showAll="0">
      <items count="37">
        <item x="0"/>
        <item x="1"/>
        <item x="2"/>
        <item m="1" x="34"/>
        <item x="3"/>
        <item x="4"/>
        <item x="5"/>
        <item x="6"/>
        <item m="1" x="29"/>
        <item x="7"/>
        <item x="8"/>
        <item m="1" x="27"/>
        <item x="10"/>
        <item m="1" x="23"/>
        <item x="11"/>
        <item m="1" x="35"/>
        <item x="12"/>
        <item x="13"/>
        <item x="15"/>
        <item m="1" x="31"/>
        <item m="1" x="21"/>
        <item x="16"/>
        <item x="17"/>
        <item x="18"/>
        <item x="19"/>
        <item m="1" x="24"/>
        <item m="1" x="28"/>
        <item x="9"/>
        <item m="1" x="25"/>
        <item m="1" x="30"/>
        <item x="14"/>
        <item m="1" x="26"/>
        <item m="1" x="32"/>
        <item m="1" x="22"/>
        <item m="1" x="20"/>
        <item m="1" x="33"/>
        <item t="default"/>
      </items>
    </pivotField>
    <pivotField name="Code" axis="axisRow" compact="0" outline="0" showAll="0" defaultSubtotal="0">
      <items count="12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</items>
    </pivotField>
    <pivotField axis="axisRow" compact="0" outline="0" showAll="0" sortType="ascending" defaultSubtotal="0">
      <items count="1276">
        <item x="29"/>
        <item m="1" x="728"/>
        <item x="392"/>
        <item x="393"/>
        <item m="1" x="807"/>
        <item m="1" x="624"/>
        <item x="394"/>
        <item m="1" x="596"/>
        <item x="327"/>
        <item x="528"/>
        <item x="328"/>
        <item m="1" x="832"/>
        <item m="1" x="1184"/>
        <item x="74"/>
        <item m="1" x="676"/>
        <item m="1" x="867"/>
        <item m="1" x="1015"/>
        <item x="329"/>
        <item x="132"/>
        <item x="182"/>
        <item x="60"/>
        <item x="61"/>
        <item m="1" x="1089"/>
        <item m="1" x="658"/>
        <item m="1" x="1217"/>
        <item m="1" x="1039"/>
        <item x="330"/>
        <item m="1" x="721"/>
        <item m="1" x="606"/>
        <item m="1" x="828"/>
        <item m="1" x="688"/>
        <item m="1" x="712"/>
        <item x="0"/>
        <item x="490"/>
        <item m="1" x="1064"/>
        <item m="1" x="918"/>
        <item x="331"/>
        <item m="1" x="611"/>
        <item m="1" x="1035"/>
        <item x="183"/>
        <item m="1" x="975"/>
        <item m="1" x="587"/>
        <item x="133"/>
        <item m="1" x="1222"/>
        <item m="1" x="1066"/>
        <item m="1" x="1025"/>
        <item m="1" x="1200"/>
        <item x="529"/>
        <item m="1" x="945"/>
        <item m="1" x="1271"/>
        <item x="1"/>
        <item x="30"/>
        <item m="1" x="1265"/>
        <item m="1" x="902"/>
        <item x="395"/>
        <item x="184"/>
        <item m="1" x="776"/>
        <item x="75"/>
        <item m="1" x="1017"/>
        <item x="31"/>
        <item m="1" x="1247"/>
        <item m="1" x="744"/>
        <item x="185"/>
        <item m="1" x="731"/>
        <item m="1" x="1258"/>
        <item x="186"/>
        <item m="1" x="737"/>
        <item x="269"/>
        <item x="134"/>
        <item x="332"/>
        <item m="1" x="1257"/>
        <item m="1" x="991"/>
        <item x="289"/>
        <item x="76"/>
        <item m="1" x="641"/>
        <item m="1" x="915"/>
        <item m="1" x="1109"/>
        <item x="187"/>
        <item m="1" x="906"/>
        <item m="1" x="746"/>
        <item m="1" x="690"/>
        <item m="1" x="933"/>
        <item m="1" x="1191"/>
        <item m="1" x="1250"/>
        <item m="1" x="1049"/>
        <item x="114"/>
        <item x="135"/>
        <item x="188"/>
        <item m="1" x="582"/>
        <item x="136"/>
        <item x="137"/>
        <item m="1" x="726"/>
        <item x="32"/>
        <item m="1" x="597"/>
        <item m="1" x="1220"/>
        <item x="270"/>
        <item m="1" x="864"/>
        <item m="1" x="591"/>
        <item x="290"/>
        <item m="1" x="940"/>
        <item m="1" x="999"/>
        <item x="491"/>
        <item m="1" x="905"/>
        <item m="1" x="800"/>
        <item m="1" x="1268"/>
        <item m="1" x="586"/>
        <item x="189"/>
        <item m="1" x="1102"/>
        <item x="554"/>
        <item x="396"/>
        <item m="1" x="1193"/>
        <item x="190"/>
        <item x="530"/>
        <item m="1" x="769"/>
        <item x="379"/>
        <item m="1" x="1036"/>
        <item x="304"/>
        <item x="271"/>
        <item x="397"/>
        <item m="1" x="735"/>
        <item x="555"/>
        <item m="1" x="931"/>
        <item m="1" x="794"/>
        <item m="1" x="1196"/>
        <item m="1" x="964"/>
        <item m="1" x="1114"/>
        <item x="2"/>
        <item x="77"/>
        <item m="1" x="1261"/>
        <item m="1" x="801"/>
        <item x="398"/>
        <item m="1" x="967"/>
        <item m="1" x="752"/>
        <item x="115"/>
        <item m="1" x="812"/>
        <item m="1" x="956"/>
        <item x="191"/>
        <item m="1" x="747"/>
        <item m="1" x="652"/>
        <item x="399"/>
        <item m="1" x="969"/>
        <item m="1" x="831"/>
        <item m="1" x="874"/>
        <item x="192"/>
        <item x="138"/>
        <item m="1" x="1221"/>
        <item m="1" x="1073"/>
        <item m="1" x="1167"/>
        <item x="400"/>
        <item x="531"/>
        <item m="1" x="1147"/>
        <item x="532"/>
        <item m="1" x="1272"/>
        <item m="1" x="1143"/>
        <item x="401"/>
        <item m="1" x="1240"/>
        <item x="50"/>
        <item x="556"/>
        <item x="193"/>
        <item x="139"/>
        <item x="140"/>
        <item x="333"/>
        <item m="1" x="1238"/>
        <item m="1" x="910"/>
        <item x="380"/>
        <item m="1" x="979"/>
        <item x="402"/>
        <item m="1" x="1010"/>
        <item x="33"/>
        <item x="194"/>
        <item m="1" x="893"/>
        <item m="1" x="818"/>
        <item x="141"/>
        <item m="1" x="1224"/>
        <item m="1" x="643"/>
        <item x="79"/>
        <item x="116"/>
        <item m="1" x="833"/>
        <item m="1" x="725"/>
        <item m="1" x="1013"/>
        <item x="195"/>
        <item x="78"/>
        <item x="334"/>
        <item m="1" x="856"/>
        <item x="80"/>
        <item m="1" x="1177"/>
        <item x="492"/>
        <item m="1" x="774"/>
        <item m="1" x="1045"/>
        <item m="1" x="748"/>
        <item x="142"/>
        <item m="1" x="613"/>
        <item m="1" x="736"/>
        <item x="493"/>
        <item m="1" x="694"/>
        <item x="403"/>
        <item m="1" x="1087"/>
        <item m="1" x="1058"/>
        <item x="335"/>
        <item x="557"/>
        <item m="1" x="1118"/>
        <item x="81"/>
        <item m="1" x="1074"/>
        <item x="494"/>
        <item m="1" x="599"/>
        <item m="1" x="782"/>
        <item x="495"/>
        <item x="3"/>
        <item m="1" x="1235"/>
        <item x="196"/>
        <item x="404"/>
        <item m="1" x="604"/>
        <item x="197"/>
        <item m="1" x="1117"/>
        <item m="1" x="1207"/>
        <item x="198"/>
        <item x="405"/>
        <item m="1" x="896"/>
        <item m="1" x="1138"/>
        <item x="4"/>
        <item x="496"/>
        <item x="406"/>
        <item m="1" x="1239"/>
        <item m="1" x="926"/>
        <item m="1" x="1245"/>
        <item m="1" x="734"/>
        <item x="336"/>
        <item m="1" x="777"/>
        <item x="82"/>
        <item x="272"/>
        <item x="407"/>
        <item x="337"/>
        <item x="408"/>
        <item m="1" x="1182"/>
        <item m="1" x="1267"/>
        <item m="1" x="803"/>
        <item x="409"/>
        <item m="1" x="651"/>
        <item m="1" x="1078"/>
        <item m="1" x="745"/>
        <item m="1" x="988"/>
        <item x="558"/>
        <item x="559"/>
        <item x="199"/>
        <item m="1" x="1243"/>
        <item x="533"/>
        <item x="273"/>
        <item x="305"/>
        <item x="338"/>
        <item m="1" x="809"/>
        <item m="1" x="852"/>
        <item x="200"/>
        <item m="1" x="894"/>
        <item x="410"/>
        <item x="497"/>
        <item m="1" x="670"/>
        <item m="1" x="850"/>
        <item x="339"/>
        <item m="1" x="1002"/>
        <item x="83"/>
        <item m="1" x="995"/>
        <item x="84"/>
        <item m="1" x="572"/>
        <item x="411"/>
        <item m="1" x="1091"/>
        <item m="1" x="878"/>
        <item m="1" x="573"/>
        <item m="1" x="862"/>
        <item x="201"/>
        <item x="498"/>
        <item x="499"/>
        <item m="1" x="663"/>
        <item m="1" x="772"/>
        <item x="117"/>
        <item x="85"/>
        <item x="143"/>
        <item x="412"/>
        <item m="1" x="702"/>
        <item m="1" x="622"/>
        <item x="534"/>
        <item m="1" x="704"/>
        <item x="202"/>
        <item x="51"/>
        <item x="203"/>
        <item m="1" x="843"/>
        <item m="1" x="684"/>
        <item x="118"/>
        <item m="1" x="879"/>
        <item m="1" x="863"/>
        <item x="413"/>
        <item x="414"/>
        <item x="204"/>
        <item x="306"/>
        <item x="205"/>
        <item x="415"/>
        <item m="1" x="1273"/>
        <item m="1" x="1260"/>
        <item x="34"/>
        <item m="1" x="1033"/>
        <item m="1" x="1131"/>
        <item x="340"/>
        <item x="560"/>
        <item m="1" x="827"/>
        <item m="1" x="1029"/>
        <item m="1" x="798"/>
        <item m="1" x="1166"/>
        <item x="144"/>
        <item x="307"/>
        <item x="86"/>
        <item x="5"/>
        <item m="1" x="1216"/>
        <item m="1" x="1000"/>
        <item x="145"/>
        <item m="1" x="787"/>
        <item m="1" x="817"/>
        <item x="308"/>
        <item x="535"/>
        <item m="1" x="1059"/>
        <item x="341"/>
        <item m="1" x="965"/>
        <item x="146"/>
        <item m="1" x="632"/>
        <item x="206"/>
        <item m="1" x="783"/>
        <item m="1" x="1142"/>
        <item m="1" x="1038"/>
        <item x="500"/>
        <item x="416"/>
        <item x="147"/>
        <item m="1" x="1146"/>
        <item m="1" x="1128"/>
        <item x="501"/>
        <item x="148"/>
        <item m="1" x="848"/>
        <item m="1" x="701"/>
        <item m="1" x="784"/>
        <item x="342"/>
        <item x="309"/>
        <item m="1" x="814"/>
        <item x="87"/>
        <item m="1" x="619"/>
        <item m="1" x="1202"/>
        <item x="310"/>
        <item m="1" x="709"/>
        <item x="207"/>
        <item m="1" x="826"/>
        <item x="149"/>
        <item x="62"/>
        <item m="1" x="1269"/>
        <item m="1" x="1153"/>
        <item m="1" x="640"/>
        <item x="417"/>
        <item m="1" x="1229"/>
        <item m="1" x="829"/>
        <item m="1" x="683"/>
        <item m="1" x="696"/>
        <item m="1" x="936"/>
        <item x="6"/>
        <item m="1" x="710"/>
        <item x="418"/>
        <item m="1" x="900"/>
        <item x="291"/>
        <item x="419"/>
        <item m="1" x="1194"/>
        <item m="1" x="1180"/>
        <item m="1" x="779"/>
        <item m="1" x="853"/>
        <item m="1" x="920"/>
        <item x="311"/>
        <item m="1" x="1082"/>
        <item m="1" x="1168"/>
        <item m="1" x="820"/>
        <item x="274"/>
        <item x="63"/>
        <item x="208"/>
        <item m="1" x="1236"/>
        <item m="1" x="1003"/>
        <item x="343"/>
        <item m="1" x="739"/>
        <item m="1" x="1226"/>
        <item m="1" x="1174"/>
        <item x="119"/>
        <item m="1" x="579"/>
        <item m="1" x="1046"/>
        <item m="1" x="780"/>
        <item x="275"/>
        <item m="1" x="625"/>
        <item m="1" x="708"/>
        <item m="1" x="768"/>
        <item m="1" x="1060"/>
        <item x="420"/>
        <item m="1" x="742"/>
        <item m="1" x="1043"/>
        <item x="209"/>
        <item x="383"/>
        <item x="35"/>
        <item x="276"/>
        <item m="1" x="1088"/>
        <item m="1" x="1136"/>
        <item x="52"/>
        <item m="1" x="854"/>
        <item x="536"/>
        <item x="88"/>
        <item x="421"/>
        <item m="1" x="759"/>
        <item x="64"/>
        <item x="150"/>
        <item m="1" x="903"/>
        <item x="344"/>
        <item x="210"/>
        <item m="1" x="687"/>
        <item m="1" x="1241"/>
        <item x="502"/>
        <item x="422"/>
        <item m="1" x="589"/>
        <item m="1" x="1005"/>
        <item m="1" x="677"/>
        <item x="312"/>
        <item x="89"/>
        <item x="151"/>
        <item x="7"/>
        <item x="503"/>
        <item x="211"/>
        <item m="1" x="718"/>
        <item x="53"/>
        <item x="504"/>
        <item x="313"/>
        <item x="345"/>
        <item x="537"/>
        <item m="1" x="626"/>
        <item x="295"/>
        <item m="1" x="1040"/>
        <item x="212"/>
        <item m="1" x="1176"/>
        <item m="1" x="664"/>
        <item m="1" x="1037"/>
        <item m="1" x="966"/>
        <item m="1" x="593"/>
        <item m="1" x="707"/>
        <item x="120"/>
        <item m="1" x="858"/>
        <item m="1" x="976"/>
        <item m="1" x="984"/>
        <item m="1" x="717"/>
        <item x="36"/>
        <item m="1" x="1099"/>
        <item m="1" x="635"/>
        <item x="152"/>
        <item m="1" x="618"/>
        <item m="1" x="1018"/>
        <item x="538"/>
        <item x="346"/>
        <item m="1" x="741"/>
        <item m="1" x="1135"/>
        <item x="8"/>
        <item m="1" x="799"/>
        <item x="423"/>
        <item m="1" x="928"/>
        <item x="347"/>
        <item m="1" x="1081"/>
        <item m="1" x="888"/>
        <item x="153"/>
        <item x="561"/>
        <item x="65"/>
        <item x="213"/>
        <item m="1" x="1092"/>
        <item m="1" x="1215"/>
        <item x="9"/>
        <item m="1" x="729"/>
        <item x="539"/>
        <item m="1" x="1106"/>
        <item m="1" x="1071"/>
        <item m="1" x="598"/>
        <item x="562"/>
        <item m="1" x="1231"/>
        <item x="296"/>
        <item x="214"/>
        <item x="424"/>
        <item x="154"/>
        <item x="104"/>
        <item x="297"/>
        <item x="37"/>
        <item x="540"/>
        <item m="1" x="790"/>
        <item x="541"/>
        <item m="1" x="1129"/>
        <item m="1" x="682"/>
        <item m="1" x="657"/>
        <item x="425"/>
        <item x="348"/>
        <item m="1" x="1079"/>
        <item x="349"/>
        <item x="426"/>
        <item m="1" x="882"/>
        <item m="1" x="990"/>
        <item x="10"/>
        <item m="1" x="892"/>
        <item x="215"/>
        <item m="1" x="1218"/>
        <item m="1" x="1067"/>
        <item m="1" x="660"/>
        <item m="1" x="1266"/>
        <item m="1" x="1024"/>
        <item x="90"/>
        <item m="1" x="1009"/>
        <item x="216"/>
        <item x="427"/>
        <item m="1" x="608"/>
        <item x="298"/>
        <item m="1" x="937"/>
        <item m="1" x="1233"/>
        <item m="1" x="996"/>
        <item m="1" x="620"/>
        <item x="155"/>
        <item x="156"/>
        <item m="1" x="1006"/>
        <item m="1" x="642"/>
        <item x="505"/>
        <item x="428"/>
        <item x="217"/>
        <item x="350"/>
        <item x="429"/>
        <item x="542"/>
        <item m="1" x="959"/>
        <item m="1" x="1165"/>
        <item m="1" x="1242"/>
        <item m="1" x="1205"/>
        <item x="506"/>
        <item m="1" x="1032"/>
        <item x="430"/>
        <item m="1" x="791"/>
        <item m="1" x="1203"/>
        <item m="1" x="912"/>
        <item m="1" x="904"/>
        <item m="1" x="584"/>
        <item x="431"/>
        <item m="1" x="1171"/>
        <item x="432"/>
        <item m="1" x="1075"/>
        <item m="1" x="1007"/>
        <item m="1" x="1069"/>
        <item m="1" x="1172"/>
        <item m="1" x="1126"/>
        <item m="1" x="1263"/>
        <item x="433"/>
        <item x="563"/>
        <item m="1" x="716"/>
        <item x="434"/>
        <item m="1" x="1048"/>
        <item x="218"/>
        <item x="435"/>
        <item m="1" x="1251"/>
        <item m="1" x="1107"/>
        <item x="38"/>
        <item x="351"/>
        <item x="507"/>
        <item x="436"/>
        <item m="1" x="1225"/>
        <item m="1" x="1016"/>
        <item m="1" x="602"/>
        <item m="1" x="1098"/>
        <item x="508"/>
        <item x="437"/>
        <item m="1" x="1076"/>
        <item x="219"/>
        <item x="438"/>
        <item x="91"/>
        <item m="1" x="713"/>
        <item m="1" x="581"/>
        <item m="1" x="592"/>
        <item m="1" x="1270"/>
        <item m="1" x="1274"/>
        <item m="1" x="607"/>
        <item m="1" x="595"/>
        <item m="1" x="986"/>
        <item x="220"/>
        <item m="1" x="1112"/>
        <item x="352"/>
        <item x="353"/>
        <item m="1" x="1152"/>
        <item m="1" x="837"/>
        <item x="157"/>
        <item m="1" x="1121"/>
        <item m="1" x="603"/>
        <item x="221"/>
        <item m="1" x="898"/>
        <item m="1" x="755"/>
        <item x="384"/>
        <item x="66"/>
        <item x="121"/>
        <item x="158"/>
        <item x="564"/>
        <item m="1" x="846"/>
        <item m="1" x="808"/>
        <item x="565"/>
        <item x="439"/>
        <item m="1" x="1230"/>
        <item x="222"/>
        <item m="1" x="1259"/>
        <item x="314"/>
        <item m="1" x="730"/>
        <item m="1" x="981"/>
        <item m="1" x="938"/>
        <item x="440"/>
        <item m="1" x="781"/>
        <item x="441"/>
        <item x="39"/>
        <item x="122"/>
        <item m="1" x="861"/>
        <item m="1" x="698"/>
        <item x="123"/>
        <item m="1" x="1169"/>
        <item x="223"/>
        <item m="1" x="1085"/>
        <item m="1" x="1162"/>
        <item m="1" x="655"/>
        <item x="442"/>
        <item m="1" x="749"/>
        <item m="1" x="633"/>
        <item x="105"/>
        <item x="543"/>
        <item m="1" x="1170"/>
        <item m="1" x="875"/>
        <item x="159"/>
        <item x="160"/>
        <item m="1" x="1023"/>
        <item x="124"/>
        <item x="444"/>
        <item x="443"/>
        <item m="1" x="1264"/>
        <item m="1" x="1204"/>
        <item m="1" x="727"/>
        <item m="1" x="764"/>
        <item x="445"/>
        <item m="1" x="667"/>
        <item m="1" x="941"/>
        <item m="1" x="871"/>
        <item x="224"/>
        <item m="1" x="917"/>
        <item m="1" x="1141"/>
        <item m="1" x="750"/>
        <item m="1" x="1111"/>
        <item m="1" x="1163"/>
        <item x="509"/>
        <item m="1" x="1012"/>
        <item x="225"/>
        <item m="1" x="810"/>
        <item m="1" x="949"/>
        <item m="1" x="958"/>
        <item x="299"/>
        <item x="226"/>
        <item x="227"/>
        <item m="1" x="1026"/>
        <item m="1" x="1070"/>
        <item m="1" x="786"/>
        <item x="277"/>
        <item m="1" x="1145"/>
        <item m="1" x="1124"/>
        <item m="1" x="623"/>
        <item m="1" x="962"/>
        <item m="1" x="594"/>
        <item m="1" x="913"/>
        <item x="510"/>
        <item m="1" x="1192"/>
        <item x="446"/>
        <item m="1" x="1093"/>
        <item m="1" x="673"/>
        <item x="228"/>
        <item x="11"/>
        <item m="1" x="968"/>
        <item x="354"/>
        <item m="1" x="1181"/>
        <item x="40"/>
        <item m="1" x="1186"/>
        <item x="447"/>
        <item m="1" x="575"/>
        <item x="125"/>
        <item x="67"/>
        <item m="1" x="761"/>
        <item x="544"/>
        <item m="1" x="1077"/>
        <item m="1" x="907"/>
        <item x="161"/>
        <item x="315"/>
        <item m="1" x="877"/>
        <item x="316"/>
        <item m="1" x="1157"/>
        <item x="92"/>
        <item m="1" x="895"/>
        <item m="1" x="802"/>
        <item x="355"/>
        <item m="1" x="1042"/>
        <item m="1" x="1080"/>
        <item m="1" x="946"/>
        <item x="448"/>
        <item m="1" x="672"/>
        <item m="1" x="574"/>
        <item m="1" x="1132"/>
        <item m="1" x="839"/>
        <item m="1" x="1052"/>
        <item x="385"/>
        <item x="68"/>
        <item m="1" x="1125"/>
        <item m="1" x="648"/>
        <item x="162"/>
        <item m="1" x="1211"/>
        <item m="1" x="703"/>
        <item m="1" x="838"/>
        <item m="1" x="778"/>
        <item m="1" x="970"/>
        <item m="1" x="884"/>
        <item m="1" x="785"/>
        <item m="1" x="578"/>
        <item m="1" x="796"/>
        <item x="356"/>
        <item m="1" x="1228"/>
        <item x="69"/>
        <item m="1" x="691"/>
        <item m="1" x="1090"/>
        <item x="449"/>
        <item x="357"/>
        <item m="1" x="792"/>
        <item x="511"/>
        <item m="1" x="686"/>
        <item x="300"/>
        <item x="450"/>
        <item x="566"/>
        <item x="358"/>
        <item x="70"/>
        <item m="1" x="1001"/>
        <item x="451"/>
        <item m="1" x="1115"/>
        <item m="1" x="723"/>
        <item x="41"/>
        <item x="93"/>
        <item m="1" x="789"/>
        <item m="1" x="614"/>
        <item x="163"/>
        <item x="359"/>
        <item m="1" x="997"/>
        <item x="452"/>
        <item x="126"/>
        <item m="1" x="866"/>
        <item x="229"/>
        <item m="1" x="1195"/>
        <item m="1" x="743"/>
        <item m="1" x="766"/>
        <item x="230"/>
        <item x="292"/>
        <item m="1" x="860"/>
        <item m="1" x="678"/>
        <item x="360"/>
        <item m="1" x="1030"/>
        <item x="278"/>
        <item m="1" x="973"/>
        <item m="1" x="1083"/>
        <item m="1" x="897"/>
        <item m="1" x="1178"/>
        <item x="42"/>
        <item m="1" x="610"/>
        <item m="1" x="955"/>
        <item m="1" x="1086"/>
        <item m="1" x="925"/>
        <item x="545"/>
        <item x="453"/>
        <item x="454"/>
        <item x="455"/>
        <item m="1" x="1144"/>
        <item m="1" x="628"/>
        <item m="1" x="671"/>
        <item x="94"/>
        <item m="1" x="1051"/>
        <item m="1" x="1237"/>
        <item x="12"/>
        <item x="546"/>
        <item m="1" x="775"/>
        <item x="456"/>
        <item m="1" x="1148"/>
        <item x="106"/>
        <item m="1" x="758"/>
        <item x="279"/>
        <item x="301"/>
        <item x="361"/>
        <item m="1" x="714"/>
        <item m="1" x="1101"/>
        <item m="1" x="974"/>
        <item x="457"/>
        <item m="1" x="627"/>
        <item x="164"/>
        <item m="1" x="629"/>
        <item x="458"/>
        <item x="231"/>
        <item x="232"/>
        <item x="13"/>
        <item m="1" x="1011"/>
        <item x="459"/>
        <item m="1" x="821"/>
        <item m="1" x="1123"/>
        <item x="280"/>
        <item m="1" x="908"/>
        <item m="1" x="1113"/>
        <item x="233"/>
        <item m="1" x="985"/>
        <item x="165"/>
        <item x="95"/>
        <item x="166"/>
        <item m="1" x="1199"/>
        <item m="1" x="1232"/>
        <item m="1" x="661"/>
        <item x="362"/>
        <item x="14"/>
        <item m="1" x="762"/>
        <item m="1" x="637"/>
        <item m="1" x="1275"/>
        <item x="460"/>
        <item m="1" x="806"/>
        <item x="512"/>
        <item x="386"/>
        <item m="1" x="921"/>
        <item x="107"/>
        <item x="234"/>
        <item m="1" x="711"/>
        <item m="1" x="1050"/>
        <item m="1" x="1095"/>
        <item m="1" x="816"/>
        <item x="363"/>
        <item x="235"/>
        <item m="1" x="638"/>
        <item x="387"/>
        <item m="1" x="1054"/>
        <item m="1" x="1014"/>
        <item m="1" x="1096"/>
        <item m="1" x="617"/>
        <item x="364"/>
        <item x="43"/>
        <item x="461"/>
        <item x="293"/>
        <item x="236"/>
        <item x="15"/>
        <item m="1" x="909"/>
        <item x="237"/>
        <item x="513"/>
        <item m="1" x="765"/>
        <item m="1" x="771"/>
        <item x="388"/>
        <item m="1" x="639"/>
        <item x="365"/>
        <item m="1" x="1209"/>
        <item x="462"/>
        <item m="1" x="577"/>
        <item x="54"/>
        <item x="55"/>
        <item x="317"/>
        <item x="463"/>
        <item m="1" x="630"/>
        <item m="1" x="844"/>
        <item x="167"/>
        <item m="1" x="693"/>
        <item m="1" x="654"/>
        <item m="1" x="922"/>
        <item x="238"/>
        <item m="1" x="1022"/>
        <item m="1" x="692"/>
        <item x="514"/>
        <item m="1" x="1256"/>
        <item x="515"/>
        <item x="127"/>
        <item m="1" x="1156"/>
        <item m="1" x="1262"/>
        <item m="1" x="740"/>
        <item m="1" x="733"/>
        <item m="1" x="841"/>
        <item x="96"/>
        <item m="1" x="1103"/>
        <item x="168"/>
        <item x="169"/>
        <item m="1" x="1061"/>
        <item x="71"/>
        <item x="108"/>
        <item x="281"/>
        <item m="1" x="1189"/>
        <item m="1" x="1183"/>
        <item x="239"/>
        <item x="240"/>
        <item m="1" x="822"/>
        <item x="241"/>
        <item m="1" x="605"/>
        <item x="318"/>
        <item m="1" x="1062"/>
        <item m="1" x="724"/>
        <item x="16"/>
        <item x="319"/>
        <item m="1" x="834"/>
        <item m="1" x="1031"/>
        <item m="1" x="1004"/>
        <item m="1" x="916"/>
        <item m="1" x="621"/>
        <item x="464"/>
        <item m="1" x="649"/>
        <item x="282"/>
        <item m="1" x="924"/>
        <item m="1" x="868"/>
        <item m="1" x="656"/>
        <item m="1" x="804"/>
        <item x="242"/>
        <item m="1" x="1008"/>
        <item x="56"/>
        <item x="465"/>
        <item x="466"/>
        <item m="1" x="1159"/>
        <item m="1" x="1185"/>
        <item m="1" x="1253"/>
        <item m="1" x="720"/>
        <item m="1" x="1140"/>
        <item x="243"/>
        <item m="1" x="767"/>
        <item m="1" x="689"/>
        <item m="1" x="751"/>
        <item x="467"/>
        <item m="1" x="1210"/>
        <item x="244"/>
        <item m="1" x="1019"/>
        <item m="1" x="873"/>
        <item x="17"/>
        <item x="567"/>
        <item m="1" x="1137"/>
        <item m="1" x="697"/>
        <item x="516"/>
        <item x="97"/>
        <item m="1" x="1097"/>
        <item x="547"/>
        <item m="1" x="993"/>
        <item m="1" x="600"/>
        <item x="302"/>
        <item x="517"/>
        <item m="1" x="738"/>
        <item x="468"/>
        <item m="1" x="675"/>
        <item x="44"/>
        <item x="469"/>
        <item m="1" x="1255"/>
        <item m="1" x="819"/>
        <item m="1" x="1161"/>
        <item m="1" x="872"/>
        <item m="1" x="1244"/>
        <item m="1" x="944"/>
        <item m="1" x="601"/>
        <item x="470"/>
        <item x="245"/>
        <item x="98"/>
        <item m="1" x="891"/>
        <item x="170"/>
        <item m="1" x="1034"/>
        <item m="1" x="1056"/>
        <item m="1" x="756"/>
        <item x="246"/>
        <item x="171"/>
        <item m="1" x="935"/>
        <item m="1" x="1044"/>
        <item x="548"/>
        <item m="1" x="615"/>
        <item m="1" x="1190"/>
        <item m="1" x="616"/>
        <item x="72"/>
        <item m="1" x="1055"/>
        <item m="1" x="870"/>
        <item m="1" x="932"/>
        <item x="109"/>
        <item m="1" x="1208"/>
        <item m="1" x="927"/>
        <item x="99"/>
        <item m="1" x="883"/>
        <item x="471"/>
        <item x="549"/>
        <item m="1" x="957"/>
        <item m="1" x="994"/>
        <item m="1" x="1127"/>
        <item m="1" x="700"/>
        <item m="1" x="1100"/>
        <item m="1" x="590"/>
        <item m="1" x="1164"/>
        <item m="1" x="943"/>
        <item m="1" x="980"/>
        <item x="366"/>
        <item m="1" x="849"/>
        <item m="1" x="971"/>
        <item x="100"/>
        <item m="1" x="1133"/>
        <item m="1" x="645"/>
        <item m="1" x="1179"/>
        <item m="1" x="1094"/>
        <item x="128"/>
        <item m="1" x="773"/>
        <item x="367"/>
        <item m="1" x="876"/>
        <item m="1" x="881"/>
        <item x="101"/>
        <item m="1" x="942"/>
        <item m="1" x="952"/>
        <item x="247"/>
        <item m="1" x="899"/>
        <item m="1" x="1198"/>
        <item m="1" x="760"/>
        <item m="1" x="953"/>
        <item x="389"/>
        <item x="248"/>
        <item m="1" x="1139"/>
        <item x="390"/>
        <item m="1" x="989"/>
        <item m="1" x="865"/>
        <item m="1" x="1084"/>
        <item m="1" x="836"/>
        <item x="172"/>
        <item m="1" x="919"/>
        <item x="283"/>
        <item x="45"/>
        <item x="173"/>
        <item x="518"/>
        <item x="18"/>
        <item m="1" x="732"/>
        <item x="294"/>
        <item m="1" x="1213"/>
        <item m="1" x="1175"/>
        <item m="1" x="1116"/>
        <item x="102"/>
        <item x="550"/>
        <item m="1" x="612"/>
        <item x="568"/>
        <item x="249"/>
        <item x="174"/>
        <item x="250"/>
        <item m="1" x="788"/>
        <item x="251"/>
        <item x="472"/>
        <item m="1" x="977"/>
        <item x="252"/>
        <item m="1" x="793"/>
        <item x="391"/>
        <item m="1" x="757"/>
        <item m="1" x="813"/>
        <item x="129"/>
        <item m="1" x="1021"/>
        <item m="1" x="583"/>
        <item x="253"/>
        <item m="1" x="1254"/>
        <item m="1" x="1149"/>
        <item x="254"/>
        <item x="303"/>
        <item x="368"/>
        <item m="1" x="911"/>
        <item m="1" x="1108"/>
        <item x="551"/>
        <item m="1" x="1187"/>
        <item m="1" x="998"/>
        <item m="1" x="1201"/>
        <item m="1" x="669"/>
        <item x="46"/>
        <item x="519"/>
        <item m="1" x="823"/>
        <item x="369"/>
        <item m="1" x="930"/>
        <item m="1" x="1150"/>
        <item x="552"/>
        <item x="370"/>
        <item m="1" x="923"/>
        <item x="255"/>
        <item m="1" x="1223"/>
        <item m="1" x="887"/>
        <item m="1" x="631"/>
        <item m="1" x="653"/>
        <item m="1" x="1206"/>
        <item x="381"/>
        <item m="1" x="1197"/>
        <item m="1" x="859"/>
        <item x="473"/>
        <item m="1" x="699"/>
        <item m="1" x="947"/>
        <item x="284"/>
        <item x="520"/>
        <item x="521"/>
        <item x="474"/>
        <item m="1" x="992"/>
        <item x="285"/>
        <item m="1" x="1154"/>
        <item m="1" x="929"/>
        <item m="1" x="1188"/>
        <item m="1" x="705"/>
        <item x="175"/>
        <item m="1" x="665"/>
        <item x="320"/>
        <item m="1" x="679"/>
        <item x="321"/>
        <item m="1" x="668"/>
        <item m="1" x="650"/>
        <item x="475"/>
        <item x="476"/>
        <item x="477"/>
        <item x="57"/>
        <item x="19"/>
        <item m="1" x="825"/>
        <item m="1" x="1249"/>
        <item m="1" x="880"/>
        <item m="1" x="1027"/>
        <item m="1" x="719"/>
        <item m="1" x="588"/>
        <item m="1" x="1130"/>
        <item m="1" x="1212"/>
        <item m="1" x="634"/>
        <item m="1" x="842"/>
        <item m="1" x="1214"/>
        <item m="1" x="1219"/>
        <item x="322"/>
        <item m="1" x="763"/>
        <item m="1" x="889"/>
        <item x="176"/>
        <item x="47"/>
        <item x="256"/>
        <item m="1" x="1248"/>
        <item x="522"/>
        <item x="478"/>
        <item x="371"/>
        <item x="569"/>
        <item x="178"/>
        <item x="179"/>
        <item m="1" x="722"/>
        <item x="323"/>
        <item x="180"/>
        <item x="110"/>
        <item m="1" x="840"/>
        <item x="479"/>
        <item m="1" x="1158"/>
        <item x="177"/>
        <item m="1" x="972"/>
        <item x="20"/>
        <item x="286"/>
        <item m="1" x="680"/>
        <item x="21"/>
        <item x="480"/>
        <item m="1" x="982"/>
        <item m="1" x="647"/>
        <item m="1" x="963"/>
        <item m="1" x="576"/>
        <item m="1" x="1246"/>
        <item x="481"/>
        <item x="372"/>
        <item x="257"/>
        <item x="103"/>
        <item x="570"/>
        <item x="373"/>
        <item x="258"/>
        <item m="1" x="685"/>
        <item m="1" x="914"/>
        <item m="1" x="674"/>
        <item x="22"/>
        <item m="1" x="1041"/>
        <item m="1" x="754"/>
        <item x="482"/>
        <item m="1" x="830"/>
        <item x="111"/>
        <item x="23"/>
        <item m="1" x="835"/>
        <item m="1" x="646"/>
        <item m="1" x="666"/>
        <item x="130"/>
        <item m="1" x="1047"/>
        <item m="1" x="706"/>
        <item m="1" x="934"/>
        <item m="1" x="695"/>
        <item x="259"/>
        <item m="1" x="1065"/>
        <item x="73"/>
        <item m="1" x="890"/>
        <item x="523"/>
        <item m="1" x="1063"/>
        <item m="1" x="1155"/>
        <item m="1" x="1119"/>
        <item x="374"/>
        <item x="260"/>
        <item x="131"/>
        <item x="483"/>
        <item m="1" x="805"/>
        <item m="1" x="811"/>
        <item m="1" x="1234"/>
        <item x="524"/>
        <item m="1" x="857"/>
        <item x="324"/>
        <item m="1" x="1134"/>
        <item x="325"/>
        <item m="1" x="1053"/>
        <item x="571"/>
        <item m="1" x="1105"/>
        <item x="261"/>
        <item m="1" x="753"/>
        <item x="553"/>
        <item x="24"/>
        <item m="1" x="1151"/>
        <item x="262"/>
        <item x="25"/>
        <item m="1" x="847"/>
        <item m="1" x="795"/>
        <item m="1" x="824"/>
        <item m="1" x="960"/>
        <item x="112"/>
        <item m="1" x="609"/>
        <item x="525"/>
        <item m="1" x="851"/>
        <item m="1" x="1160"/>
        <item x="263"/>
        <item x="326"/>
        <item x="48"/>
        <item m="1" x="951"/>
        <item m="1" x="1020"/>
        <item x="26"/>
        <item x="375"/>
        <item x="49"/>
        <item m="1" x="815"/>
        <item m="1" x="948"/>
        <item x="27"/>
        <item m="1" x="983"/>
        <item m="1" x="580"/>
        <item x="287"/>
        <item x="382"/>
        <item m="1" x="1110"/>
        <item m="1" x="885"/>
        <item m="1" x="636"/>
        <item m="1" x="1104"/>
        <item x="288"/>
        <item m="1" x="662"/>
        <item m="1" x="659"/>
        <item m="1" x="585"/>
        <item m="1" x="1122"/>
        <item m="1" x="950"/>
        <item x="526"/>
        <item x="484"/>
        <item m="1" x="770"/>
        <item x="264"/>
        <item m="1" x="845"/>
        <item x="58"/>
        <item x="485"/>
        <item m="1" x="1028"/>
        <item x="376"/>
        <item m="1" x="901"/>
        <item x="377"/>
        <item m="1" x="715"/>
        <item m="1" x="954"/>
        <item m="1" x="1252"/>
        <item m="1" x="1173"/>
        <item x="113"/>
        <item m="1" x="1068"/>
        <item m="1" x="797"/>
        <item m="1" x="886"/>
        <item x="378"/>
        <item m="1" x="939"/>
        <item m="1" x="987"/>
        <item m="1" x="1057"/>
        <item m="1" x="855"/>
        <item m="1" x="961"/>
        <item m="1" x="978"/>
        <item m="1" x="1120"/>
        <item m="1" x="681"/>
        <item x="486"/>
        <item m="1" x="1072"/>
        <item x="487"/>
        <item x="59"/>
        <item x="265"/>
        <item m="1" x="1227"/>
        <item x="488"/>
        <item x="266"/>
        <item x="527"/>
        <item x="267"/>
        <item m="1" x="644"/>
        <item x="268"/>
        <item x="28"/>
        <item x="181"/>
        <item x="489"/>
        <item m="1" x="869"/>
      </items>
    </pivotField>
    <pivotField axis="axisRow" compact="0" outline="0" showAll="0" defaultSubtotal="0">
      <items count="694">
        <item m="1" x="609"/>
        <item x="348"/>
        <item m="1" x="551"/>
        <item x="78"/>
        <item x="73"/>
        <item x="48"/>
        <item x="79"/>
        <item x="55"/>
        <item m="1" x="555"/>
        <item x="158"/>
        <item x="38"/>
        <item m="1" x="486"/>
        <item m="1" x="493"/>
        <item m="1" x="663"/>
        <item x="343"/>
        <item x="298"/>
        <item x="177"/>
        <item x="85"/>
        <item x="76"/>
        <item m="1" x="422"/>
        <item x="58"/>
        <item m="1" x="432"/>
        <item x="130"/>
        <item m="1" x="527"/>
        <item m="1" x="503"/>
        <item x="28"/>
        <item x="29"/>
        <item m="1" x="652"/>
        <item m="1" x="487"/>
        <item x="26"/>
        <item x="207"/>
        <item m="1" x="668"/>
        <item m="1" x="550"/>
        <item m="1" x="421"/>
        <item m="1" x="670"/>
        <item x="81"/>
        <item x="30"/>
        <item m="1" x="420"/>
        <item x="50"/>
        <item x="367"/>
        <item x="3"/>
        <item x="250"/>
        <item m="1" x="608"/>
        <item m="1" x="660"/>
        <item x="53"/>
        <item m="1" x="498"/>
        <item x="110"/>
        <item m="1" x="458"/>
        <item x="44"/>
        <item x="234"/>
        <item x="2"/>
        <item x="146"/>
        <item x="311"/>
        <item m="1" x="576"/>
        <item x="175"/>
        <item m="1" x="641"/>
        <item x="249"/>
        <item x="32"/>
        <item x="70"/>
        <item m="1" x="621"/>
        <item x="21"/>
        <item m="1" x="571"/>
        <item x="223"/>
        <item m="1" x="639"/>
        <item x="365"/>
        <item m="1" x="528"/>
        <item x="59"/>
        <item m="1" x="474"/>
        <item x="57"/>
        <item m="1" x="638"/>
        <item x="9"/>
        <item x="402"/>
        <item x="7"/>
        <item x="344"/>
        <item x="40"/>
        <item x="60"/>
        <item m="1" x="481"/>
        <item m="1" x="657"/>
        <item x="247"/>
        <item m="1" x="512"/>
        <item m="1" x="476"/>
        <item x="39"/>
        <item x="115"/>
        <item m="1" x="614"/>
        <item m="1" x="456"/>
        <item x="322"/>
        <item x="196"/>
        <item x="145"/>
        <item x="217"/>
        <item x="283"/>
        <item m="1" x="587"/>
        <item x="101"/>
        <item x="136"/>
        <item m="1" x="507"/>
        <item x="6"/>
        <item x="41"/>
        <item m="1" x="629"/>
        <item x="91"/>
        <item m="1" x="659"/>
        <item m="1" x="654"/>
        <item x="64"/>
        <item m="1" x="547"/>
        <item x="19"/>
        <item x="170"/>
        <item x="318"/>
        <item m="1" x="423"/>
        <item x="273"/>
        <item x="113"/>
        <item x="213"/>
        <item x="111"/>
        <item x="184"/>
        <item x="82"/>
        <item x="52"/>
        <item x="139"/>
        <item m="1" x="414"/>
        <item x="8"/>
        <item x="214"/>
        <item x="119"/>
        <item x="243"/>
        <item x="279"/>
        <item x="264"/>
        <item x="263"/>
        <item x="149"/>
        <item x="173"/>
        <item m="1" x="463"/>
        <item x="281"/>
        <item m="1" x="643"/>
        <item x="51"/>
        <item x="56"/>
        <item m="1" x="615"/>
        <item x="291"/>
        <item m="1" x="506"/>
        <item x="338"/>
        <item x="152"/>
        <item x="68"/>
        <item x="342"/>
        <item x="151"/>
        <item x="203"/>
        <item x="262"/>
        <item x="116"/>
        <item m="1" x="537"/>
        <item m="1" x="536"/>
        <item m="1" x="552"/>
        <item x="114"/>
        <item m="1" x="579"/>
        <item m="1" x="443"/>
        <item m="1" x="467"/>
        <item m="1" x="516"/>
        <item x="11"/>
        <item x="193"/>
        <item x="80"/>
        <item x="157"/>
        <item x="174"/>
        <item x="361"/>
        <item x="36"/>
        <item x="18"/>
        <item m="1" x="662"/>
        <item x="77"/>
        <item x="24"/>
        <item x="42"/>
        <item x="319"/>
        <item x="17"/>
        <item x="14"/>
        <item x="97"/>
        <item m="1" x="667"/>
        <item x="374"/>
        <item x="22"/>
        <item x="112"/>
        <item x="238"/>
        <item m="1" x="556"/>
        <item m="1" x="647"/>
        <item x="240"/>
        <item m="1" x="656"/>
        <item m="1" x="594"/>
        <item x="33"/>
        <item x="287"/>
        <item m="1" x="526"/>
        <item x="288"/>
        <item m="1" x="505"/>
        <item x="128"/>
        <item x="61"/>
        <item x="37"/>
        <item m="1" x="604"/>
        <item x="1"/>
        <item x="295"/>
        <item x="172"/>
        <item x="147"/>
        <item m="1" x="601"/>
        <item m="1" x="632"/>
        <item m="1" x="554"/>
        <item x="226"/>
        <item x="104"/>
        <item m="1" x="535"/>
        <item m="1" x="525"/>
        <item x="355"/>
        <item x="286"/>
        <item m="1" x="676"/>
        <item x="242"/>
        <item m="1" x="675"/>
        <item x="309"/>
        <item x="140"/>
        <item m="1" x="693"/>
        <item x="181"/>
        <item x="90"/>
        <item x="84"/>
        <item m="1" x="674"/>
        <item m="1" x="563"/>
        <item x="359"/>
        <item x="25"/>
        <item m="1" x="649"/>
        <item x="23"/>
        <item x="137"/>
        <item m="1" x="605"/>
        <item m="1" x="650"/>
        <item m="1" x="567"/>
        <item m="1" x="430"/>
        <item x="190"/>
        <item m="1" x="628"/>
        <item x="54"/>
        <item x="94"/>
        <item m="1" x="413"/>
        <item x="244"/>
        <item m="1" x="426"/>
        <item x="277"/>
        <item x="88"/>
        <item m="1" x="684"/>
        <item m="1" x="689"/>
        <item m="1" x="490"/>
        <item m="1" x="473"/>
        <item m="1" x="635"/>
        <item m="1" x="630"/>
        <item m="1" x="570"/>
        <item m="1" x="489"/>
        <item m="1" x="425"/>
        <item x="102"/>
        <item m="1" x="611"/>
        <item m="1" x="626"/>
        <item x="222"/>
        <item m="1" x="682"/>
        <item m="1" x="665"/>
        <item x="323"/>
        <item m="1" x="583"/>
        <item m="1" x="470"/>
        <item x="202"/>
        <item m="1" x="624"/>
        <item m="1" x="586"/>
        <item m="1" x="619"/>
        <item m="1" x="546"/>
        <item x="248"/>
        <item x="266"/>
        <item m="1" x="442"/>
        <item m="1" x="513"/>
        <item m="1" x="548"/>
        <item m="1" x="428"/>
        <item m="1" x="581"/>
        <item x="299"/>
        <item m="1" x="640"/>
        <item m="1" x="622"/>
        <item m="1" x="584"/>
        <item x="315"/>
        <item x="271"/>
        <item m="1" x="478"/>
        <item m="1" x="544"/>
        <item x="386"/>
        <item x="47"/>
        <item m="1" x="580"/>
        <item m="1" x="598"/>
        <item x="340"/>
        <item m="1" x="589"/>
        <item m="1" x="418"/>
        <item m="1" x="618"/>
        <item x="194"/>
        <item m="1" x="591"/>
        <item m="1" x="492"/>
        <item m="1" x="625"/>
        <item x="292"/>
        <item x="294"/>
        <item x="62"/>
        <item m="1" x="521"/>
        <item x="317"/>
        <item m="1" x="515"/>
        <item x="100"/>
        <item m="1" x="541"/>
        <item m="1" x="437"/>
        <item m="1" x="645"/>
        <item m="1" x="612"/>
        <item m="1" x="479"/>
        <item m="1" x="499"/>
        <item m="1" x="603"/>
        <item m="1" x="606"/>
        <item m="1" x="582"/>
        <item m="1" x="427"/>
        <item m="1" x="514"/>
        <item m="1" x="457"/>
        <item m="1" x="690"/>
        <item m="1" x="500"/>
        <item m="1" x="450"/>
        <item m="1" x="573"/>
        <item x="171"/>
        <item m="1" x="561"/>
        <item m="1" x="447"/>
        <item m="1" x="692"/>
        <item x="265"/>
        <item m="1" x="564"/>
        <item m="1" x="631"/>
        <item m="1" x="482"/>
        <item m="1" x="517"/>
        <item x="63"/>
        <item x="206"/>
        <item m="1" x="419"/>
        <item m="1" x="613"/>
        <item x="272"/>
        <item x="285"/>
        <item x="180"/>
        <item m="1" x="511"/>
        <item x="72"/>
        <item x="268"/>
        <item x="49"/>
        <item m="1" x="644"/>
        <item m="1" x="568"/>
        <item x="349"/>
        <item m="1" x="600"/>
        <item m="1" x="559"/>
        <item m="1" x="588"/>
        <item m="1" x="595"/>
        <item m="1" x="429"/>
        <item m="1" x="465"/>
        <item m="1" x="483"/>
        <item x="179"/>
        <item x="74"/>
        <item m="1" x="464"/>
        <item x="409"/>
        <item x="191"/>
        <item x="215"/>
        <item m="1" x="683"/>
        <item x="395"/>
        <item m="1" x="508"/>
        <item m="1" x="545"/>
        <item m="1" x="565"/>
        <item m="1" x="496"/>
        <item m="1" x="441"/>
        <item m="1" x="501"/>
        <item m="1" x="575"/>
        <item x="164"/>
        <item m="1" x="672"/>
        <item m="1" x="520"/>
        <item x="129"/>
        <item m="1" x="616"/>
        <item m="1" x="434"/>
        <item m="1" x="661"/>
        <item m="1" x="592"/>
        <item m="1" x="475"/>
        <item m="1" x="664"/>
        <item m="1" x="484"/>
        <item m="1" x="446"/>
        <item m="1" x="469"/>
        <item m="1" x="495"/>
        <item x="245"/>
        <item m="1" x="658"/>
        <item m="1" x="679"/>
        <item m="1" x="651"/>
        <item x="209"/>
        <item m="1" x="411"/>
        <item x="148"/>
        <item m="1" x="502"/>
        <item m="1" x="524"/>
        <item x="320"/>
        <item x="383"/>
        <item x="408"/>
        <item x="332"/>
        <item m="1" x="529"/>
        <item m="1" x="530"/>
        <item m="1" x="557"/>
        <item m="1" x="412"/>
        <item m="1" x="461"/>
        <item m="1" x="518"/>
        <item m="1" x="471"/>
        <item m="1" x="532"/>
        <item x="236"/>
        <item x="127"/>
        <item m="1" x="439"/>
        <item m="1" x="681"/>
        <item m="1" x="533"/>
        <item m="1" x="633"/>
        <item m="1" x="574"/>
        <item m="1" x="543"/>
        <item m="1" x="585"/>
        <item m="1" x="459"/>
        <item m="1" x="462"/>
        <item m="1" x="602"/>
        <item m="1" x="538"/>
        <item x="260"/>
        <item m="1" x="596"/>
        <item m="1" x="460"/>
        <item m="1" x="417"/>
        <item x="378"/>
        <item m="1" x="637"/>
        <item x="83"/>
        <item x="241"/>
        <item x="159"/>
        <item x="144"/>
        <item m="1" x="646"/>
        <item m="1" x="572"/>
        <item m="1" x="440"/>
        <item x="107"/>
        <item x="108"/>
        <item m="1" x="509"/>
        <item m="1" x="444"/>
        <item x="125"/>
        <item x="69"/>
        <item m="1" x="531"/>
        <item m="1" x="678"/>
        <item m="1" x="410"/>
        <item x="301"/>
        <item x="201"/>
        <item m="1" x="680"/>
        <item m="1" x="597"/>
        <item m="1" x="542"/>
        <item x="92"/>
        <item m="1" x="566"/>
        <item m="1" x="433"/>
        <item x="135"/>
        <item x="89"/>
        <item x="372"/>
        <item m="1" x="623"/>
        <item m="1" x="627"/>
        <item m="1" x="453"/>
        <item m="1" x="519"/>
        <item x="284"/>
        <item x="227"/>
        <item m="1" x="424"/>
        <item m="1" x="685"/>
        <item x="118"/>
        <item m="1" x="448"/>
        <item m="1" x="436"/>
        <item m="1" x="599"/>
        <item m="1" x="449"/>
        <item x="154"/>
        <item m="1" x="549"/>
        <item m="1" x="578"/>
        <item x="162"/>
        <item m="1" x="539"/>
        <item m="1" x="620"/>
        <item m="1" x="523"/>
        <item m="1" x="466"/>
        <item m="1" x="451"/>
        <item m="1" x="648"/>
        <item m="1" x="415"/>
        <item m="1" x="553"/>
        <item x="124"/>
        <item x="327"/>
        <item x="335"/>
        <item x="396"/>
        <item m="1" x="452"/>
        <item x="131"/>
        <item x="363"/>
        <item m="1" x="617"/>
        <item m="1" x="438"/>
        <item x="387"/>
        <item x="67"/>
        <item x="87"/>
        <item x="117"/>
        <item x="394"/>
        <item x="220"/>
        <item x="221"/>
        <item x="98"/>
        <item m="1" x="577"/>
        <item x="293"/>
        <item x="313"/>
        <item m="1" x="504"/>
        <item x="404"/>
        <item x="407"/>
        <item m="1" x="435"/>
        <item m="1" x="688"/>
        <item m="1" x="634"/>
        <item x="46"/>
        <item x="65"/>
        <item x="66"/>
        <item m="1" x="636"/>
        <item x="43"/>
        <item m="1" x="534"/>
        <item m="1" x="522"/>
        <item x="167"/>
        <item m="1" x="488"/>
        <item x="187"/>
        <item x="188"/>
        <item m="1" x="610"/>
        <item x="199"/>
        <item m="1" x="590"/>
        <item m="1" x="497"/>
        <item x="233"/>
        <item x="235"/>
        <item x="239"/>
        <item x="258"/>
        <item m="1" x="593"/>
        <item m="1" x="686"/>
        <item m="1" x="472"/>
        <item m="1" x="491"/>
        <item m="1" x="666"/>
        <item x="278"/>
        <item m="1" x="669"/>
        <item x="329"/>
        <item m="1" x="540"/>
        <item x="306"/>
        <item x="312"/>
        <item x="231"/>
        <item x="333"/>
        <item x="334"/>
        <item x="352"/>
        <item m="1" x="510"/>
        <item m="1" x="653"/>
        <item x="399"/>
        <item x="406"/>
        <item x="377"/>
        <item m="1" x="485"/>
        <item x="182"/>
        <item x="314"/>
        <item m="1" x="468"/>
        <item x="165"/>
        <item m="1" x="416"/>
        <item m="1" x="558"/>
        <item m="1" x="455"/>
        <item m="1" x="687"/>
        <item x="132"/>
        <item m="1" x="445"/>
        <item x="251"/>
        <item m="1" x="480"/>
        <item m="1" x="454"/>
        <item m="1" x="560"/>
        <item x="307"/>
        <item m="1" x="477"/>
        <item m="1" x="671"/>
        <item x="0"/>
        <item m="1" x="607"/>
        <item m="1" x="691"/>
        <item m="1" x="494"/>
        <item x="228"/>
        <item x="229"/>
        <item m="1" x="562"/>
        <item m="1" x="655"/>
        <item m="1" x="642"/>
        <item m="1" x="431"/>
        <item x="166"/>
        <item x="382"/>
        <item x="195"/>
        <item x="290"/>
        <item x="216"/>
        <item m="1" x="569"/>
        <item m="1" x="673"/>
        <item x="4"/>
        <item x="5"/>
        <item x="10"/>
        <item x="20"/>
        <item x="71"/>
        <item x="109"/>
        <item m="1" x="677"/>
        <item x="310"/>
        <item x="358"/>
        <item x="369"/>
        <item x="373"/>
        <item x="375"/>
        <item x="391"/>
        <item x="31"/>
        <item x="35"/>
        <item x="75"/>
        <item x="86"/>
        <item x="95"/>
        <item x="96"/>
        <item x="99"/>
        <item x="103"/>
        <item x="120"/>
        <item x="122"/>
        <item x="126"/>
        <item x="133"/>
        <item x="134"/>
        <item x="138"/>
        <item x="141"/>
        <item x="142"/>
        <item x="143"/>
        <item x="153"/>
        <item x="160"/>
        <item x="161"/>
        <item x="169"/>
        <item x="176"/>
        <item x="185"/>
        <item x="189"/>
        <item x="192"/>
        <item x="198"/>
        <item x="200"/>
        <item x="204"/>
        <item x="205"/>
        <item x="210"/>
        <item x="212"/>
        <item x="218"/>
        <item x="219"/>
        <item x="224"/>
        <item x="225"/>
        <item x="230"/>
        <item x="254"/>
        <item x="257"/>
        <item x="267"/>
        <item x="270"/>
        <item x="274"/>
        <item x="275"/>
        <item x="276"/>
        <item x="302"/>
        <item x="303"/>
        <item x="304"/>
        <item x="305"/>
        <item x="308"/>
        <item x="321"/>
        <item x="336"/>
        <item x="346"/>
        <item x="366"/>
        <item x="371"/>
        <item x="376"/>
        <item x="379"/>
        <item x="384"/>
        <item x="388"/>
        <item x="400"/>
        <item x="401"/>
        <item x="403"/>
        <item x="405"/>
        <item x="34"/>
        <item x="197"/>
        <item x="246"/>
        <item x="256"/>
        <item x="282"/>
        <item x="289"/>
        <item x="296"/>
        <item x="297"/>
        <item x="316"/>
        <item x="326"/>
        <item x="328"/>
        <item x="370"/>
        <item x="121"/>
        <item x="155"/>
        <item x="252"/>
        <item x="253"/>
        <item x="150"/>
        <item x="390"/>
        <item x="211"/>
        <item x="337"/>
        <item x="339"/>
        <item x="357"/>
        <item x="12"/>
        <item x="13"/>
        <item x="15"/>
        <item x="16"/>
        <item x="27"/>
        <item x="45"/>
        <item x="123"/>
        <item x="156"/>
        <item x="232"/>
        <item x="237"/>
        <item x="364"/>
        <item x="385"/>
        <item x="389"/>
        <item x="398"/>
        <item x="93"/>
        <item x="105"/>
        <item x="106"/>
        <item x="163"/>
        <item x="168"/>
        <item x="178"/>
        <item x="183"/>
        <item x="186"/>
        <item x="208"/>
        <item x="255"/>
        <item x="259"/>
        <item x="261"/>
        <item x="269"/>
        <item x="280"/>
        <item x="300"/>
        <item x="324"/>
        <item x="325"/>
        <item x="330"/>
        <item x="331"/>
        <item x="341"/>
        <item x="345"/>
        <item x="347"/>
        <item x="350"/>
        <item x="351"/>
        <item x="353"/>
        <item x="354"/>
        <item x="356"/>
        <item x="360"/>
        <item x="362"/>
        <item x="368"/>
        <item x="380"/>
        <item x="381"/>
        <item x="392"/>
        <item x="393"/>
        <item x="397"/>
      </items>
    </pivotField>
    <pivotField compact="0" numFmtId="3" outline="0" showAll="0" defaultSubtotal="0"/>
    <pivotField compact="0" numFmtId="3" outline="0" showAll="0" defaultSubtotal="0"/>
    <pivotField axis="axisRow" compact="0" outline="0" showAll="0" defaultSubtotal="0">
      <items count="25">
        <item x="1"/>
        <item m="1" x="6"/>
        <item m="1" x="17"/>
        <item m="1" x="5"/>
        <item m="1" x="19"/>
        <item m="1" x="18"/>
        <item m="1" x="20"/>
        <item m="1" x="4"/>
        <item m="1" x="16"/>
        <item m="1" x="9"/>
        <item m="1" x="22"/>
        <item m="1" x="14"/>
        <item m="1" x="15"/>
        <item m="1" x="8"/>
        <item m="1" x="21"/>
        <item m="1" x="24"/>
        <item m="1" x="7"/>
        <item m="1" x="10"/>
        <item m="1" x="13"/>
        <item m="1" x="23"/>
        <item m="1" x="12"/>
        <item m="1" x="11"/>
        <item m="1" x="3"/>
        <item m="1" x="2"/>
        <item x="0"/>
      </items>
    </pivotField>
  </pivotFields>
  <rowFields count="4">
    <field x="2"/>
    <field x="3"/>
    <field x="1"/>
    <field x="6"/>
  </rowFields>
  <rowItems count="126">
    <i>
      <x/>
      <x v="174"/>
      <x v="3"/>
      <x v="24"/>
    </i>
    <i>
      <x v="2"/>
      <x v="255"/>
      <x/>
      <x/>
    </i>
    <i>
      <x v="3"/>
      <x v="159"/>
      <x v="1"/>
      <x v="24"/>
    </i>
    <i>
      <x v="6"/>
      <x v="162"/>
      <x v="2"/>
      <x/>
    </i>
    <i>
      <x v="54"/>
      <x v="58"/>
      <x v="4"/>
      <x/>
    </i>
    <i>
      <x v="86"/>
      <x v="673"/>
      <x v="5"/>
      <x/>
    </i>
    <i>
      <x v="109"/>
      <x v="190"/>
      <x v="6"/>
      <x v="24"/>
    </i>
    <i>
      <x v="118"/>
      <x v="22"/>
      <x v="7"/>
      <x/>
    </i>
    <i>
      <x v="130"/>
      <x v="413"/>
      <x v="8"/>
      <x/>
    </i>
    <i>
      <x v="139"/>
      <x v="44"/>
      <x v="9"/>
      <x/>
    </i>
    <i>
      <x v="148"/>
      <x v="35"/>
      <x v="10"/>
      <x/>
    </i>
    <i>
      <x v="154"/>
      <x v="378"/>
      <x v="11"/>
      <x/>
    </i>
    <i r="1">
      <x v="605"/>
      <x v="12"/>
      <x/>
    </i>
    <i>
      <x v="166"/>
      <x v="35"/>
      <x v="13"/>
      <x/>
    </i>
    <i r="1">
      <x v="183"/>
      <x v="14"/>
      <x/>
    </i>
    <i>
      <x v="195"/>
      <x v="315"/>
      <x v="15"/>
      <x/>
    </i>
    <i>
      <x v="210"/>
      <x v="606"/>
      <x v="16"/>
      <x v="24"/>
    </i>
    <i>
      <x v="216"/>
      <x v="607"/>
      <x v="17"/>
      <x v="24"/>
    </i>
    <i>
      <x v="221"/>
      <x v="608"/>
      <x v="18"/>
      <x v="24"/>
    </i>
    <i>
      <x v="230"/>
      <x v="503"/>
      <x v="19"/>
      <x v="24"/>
    </i>
    <i>
      <x v="232"/>
      <x v="529"/>
      <x v="20"/>
      <x/>
    </i>
    <i>
      <x v="236"/>
      <x v="609"/>
      <x v="21"/>
      <x v="24"/>
    </i>
    <i>
      <x v="253"/>
      <x v="199"/>
      <x v="22"/>
      <x/>
    </i>
    <i>
      <x v="263"/>
      <x v="162"/>
      <x v="23"/>
      <x/>
    </i>
    <i>
      <x v="276"/>
      <x v="191"/>
      <x v="24"/>
      <x/>
    </i>
    <i r="1">
      <x v="556"/>
      <x v="25"/>
      <x/>
    </i>
    <i>
      <x v="289"/>
      <x v="52"/>
      <x v="26"/>
      <x/>
    </i>
    <i r="1">
      <x v="199"/>
      <x v="27"/>
      <x/>
    </i>
    <i>
      <x v="290"/>
      <x v="38"/>
      <x v="28"/>
      <x/>
    </i>
    <i>
      <x v="294"/>
      <x v="504"/>
      <x v="29"/>
      <x/>
    </i>
    <i>
      <x v="327"/>
      <x v="48"/>
      <x v="30"/>
      <x v="24"/>
    </i>
    <i>
      <x v="351"/>
      <x v="316"/>
      <x v="31"/>
      <x/>
    </i>
    <i>
      <x v="359"/>
      <x v="234"/>
      <x v="32"/>
      <x/>
    </i>
    <i>
      <x v="362"/>
      <x v="468"/>
      <x v="33"/>
      <x/>
    </i>
    <i>
      <x v="390"/>
      <x v="259"/>
      <x v="35"/>
      <x/>
    </i>
    <i r="1">
      <x v="516"/>
      <x v="34"/>
      <x/>
    </i>
    <i>
      <x v="403"/>
      <x v="631"/>
      <x v="36"/>
      <x/>
    </i>
    <i>
      <x v="413"/>
      <x v="279"/>
      <x v="37"/>
      <x v="24"/>
    </i>
    <i>
      <x v="456"/>
      <x v="104"/>
      <x v="38"/>
      <x/>
    </i>
    <i>
      <x v="477"/>
      <x v="94"/>
      <x v="39"/>
      <x v="24"/>
    </i>
    <i>
      <x v="488"/>
      <x v="505"/>
      <x v="40"/>
      <x v="24"/>
    </i>
    <i>
      <x v="492"/>
      <x v="484"/>
      <x v="41"/>
      <x/>
    </i>
    <i>
      <x v="506"/>
      <x v="160"/>
      <x v="42"/>
      <x/>
    </i>
    <i>
      <x v="518"/>
      <x v="366"/>
      <x v="43"/>
      <x v="24"/>
    </i>
    <i>
      <x v="521"/>
      <x v="610"/>
      <x v="44"/>
      <x v="24"/>
    </i>
    <i>
      <x v="529"/>
      <x v="150"/>
      <x v="45"/>
      <x/>
    </i>
    <i>
      <x v="535"/>
      <x v="85"/>
      <x v="46"/>
      <x/>
    </i>
    <i>
      <x v="537"/>
      <x v="240"/>
      <x v="47"/>
      <x/>
    </i>
    <i>
      <x v="544"/>
      <x v="40"/>
      <x v="48"/>
      <x v="24"/>
    </i>
    <i r="1">
      <x v="333"/>
      <x v="49"/>
      <x/>
    </i>
    <i r="1">
      <x v="343"/>
      <x v="50"/>
      <x/>
    </i>
    <i>
      <x v="547"/>
      <x v="674"/>
      <x v="51"/>
      <x/>
    </i>
    <i r="1">
      <x v="675"/>
      <x v="52"/>
      <x/>
    </i>
    <i>
      <x v="550"/>
      <x v="119"/>
      <x v="53"/>
      <x/>
    </i>
    <i>
      <x v="556"/>
      <x v="190"/>
      <x v="55"/>
      <x/>
    </i>
    <i r="1">
      <x v="632"/>
      <x v="54"/>
      <x v="24"/>
    </i>
    <i>
      <x v="562"/>
      <x v="260"/>
      <x v="57"/>
      <x/>
    </i>
    <i r="1">
      <x v="450"/>
      <x v="56"/>
      <x/>
    </i>
    <i>
      <x v="565"/>
      <x v="5"/>
      <x v="58"/>
      <x/>
    </i>
    <i>
      <x v="595"/>
      <x v="633"/>
      <x v="59"/>
      <x v="24"/>
    </i>
    <i>
      <x v="603"/>
      <x v="501"/>
      <x v="60"/>
      <x/>
    </i>
    <i>
      <x v="605"/>
      <x v="203"/>
      <x v="61"/>
      <x/>
    </i>
    <i>
      <x v="616"/>
      <x v="143"/>
      <x v="62"/>
      <x/>
    </i>
    <i>
      <x v="627"/>
      <x v="203"/>
      <x v="64"/>
      <x/>
    </i>
    <i>
      <x v="628"/>
      <x v="137"/>
      <x v="63"/>
      <x/>
    </i>
    <i>
      <x v="633"/>
      <x v="676"/>
      <x v="65"/>
      <x/>
    </i>
    <i>
      <x v="664"/>
      <x v="369"/>
      <x v="67"/>
      <x/>
    </i>
    <i r="1">
      <x v="677"/>
      <x v="66"/>
      <x/>
    </i>
    <i>
      <x v="674"/>
      <x v="82"/>
      <x v="68"/>
      <x/>
    </i>
    <i>
      <x v="694"/>
      <x v="504"/>
      <x v="69"/>
      <x v="24"/>
    </i>
    <i>
      <x v="719"/>
      <x v="110"/>
      <x v="70"/>
      <x/>
    </i>
    <i>
      <x v="725"/>
      <x v="200"/>
      <x v="71"/>
      <x v="24"/>
    </i>
    <i>
      <x v="730"/>
      <x v="506"/>
      <x v="72"/>
      <x/>
    </i>
    <i r="1">
      <x v="507"/>
      <x v="73"/>
      <x/>
    </i>
    <i>
      <x v="740"/>
      <x v="451"/>
      <x v="74"/>
      <x/>
    </i>
    <i>
      <x v="764"/>
      <x v="40"/>
      <x v="75"/>
      <x/>
    </i>
    <i>
      <x v="765"/>
      <x v="611"/>
      <x v="76"/>
      <x/>
    </i>
    <i>
      <x v="766"/>
      <x v="162"/>
      <x v="77"/>
      <x/>
    </i>
    <i>
      <x v="776"/>
      <x v="157"/>
      <x v="78"/>
      <x/>
    </i>
    <i r="1">
      <x v="642"/>
      <x v="79"/>
      <x/>
    </i>
    <i>
      <x v="786"/>
      <x v="132"/>
      <x v="80"/>
      <x v="24"/>
    </i>
    <i>
      <x v="790"/>
      <x v="50"/>
      <x v="81"/>
      <x v="24"/>
    </i>
    <i>
      <x v="795"/>
      <x v="203"/>
      <x v="82"/>
      <x/>
    </i>
    <i>
      <x v="814"/>
      <x v="643"/>
      <x v="83"/>
      <x/>
    </i>
    <i>
      <x v="826"/>
      <x v="158"/>
      <x v="84"/>
      <x/>
    </i>
    <i r="1">
      <x v="267"/>
      <x v="85"/>
      <x/>
    </i>
    <i>
      <x v="834"/>
      <x v="678"/>
      <x v="86"/>
      <x/>
    </i>
    <i>
      <x v="835"/>
      <x v="647"/>
      <x v="87"/>
      <x/>
    </i>
    <i>
      <x v="848"/>
      <x v="135"/>
      <x v="88"/>
      <x/>
    </i>
    <i r="1">
      <x v="464"/>
      <x v="89"/>
      <x v="24"/>
    </i>
    <i>
      <x v="853"/>
      <x v="450"/>
      <x v="90"/>
      <x v="24"/>
    </i>
    <i>
      <x v="897"/>
      <x v="14"/>
      <x v="91"/>
      <x/>
    </i>
    <i r="1">
      <x v="73"/>
      <x v="92"/>
      <x/>
    </i>
    <i>
      <x v="907"/>
      <x v="400"/>
      <x v="94"/>
      <x/>
    </i>
    <i r="1">
      <x v="679"/>
      <x v="93"/>
      <x/>
    </i>
    <i>
      <x v="908"/>
      <x v="612"/>
      <x v="95"/>
      <x v="24"/>
    </i>
    <i>
      <x v="918"/>
      <x v="46"/>
      <x v="96"/>
      <x/>
    </i>
    <i>
      <x v="936"/>
      <x v="680"/>
      <x v="97"/>
      <x/>
    </i>
    <i>
      <x v="939"/>
      <x v="162"/>
      <x v="98"/>
      <x/>
    </i>
    <i r="1">
      <x v="191"/>
      <x v="99"/>
      <x/>
    </i>
    <i>
      <x v="947"/>
      <x v="70"/>
      <x v="100"/>
      <x v="24"/>
    </i>
    <i>
      <x v="972"/>
      <x v="1"/>
      <x v="101"/>
      <x/>
    </i>
    <i>
      <x v="983"/>
      <x v="328"/>
      <x v="102"/>
      <x v="24"/>
    </i>
    <i>
      <x v="1033"/>
      <x v="94"/>
      <x v="104"/>
      <x/>
    </i>
    <i r="1">
      <x v="320"/>
      <x v="103"/>
      <x/>
    </i>
    <i>
      <x v="1074"/>
      <x v="681"/>
      <x v="105"/>
      <x/>
    </i>
    <i r="1">
      <x v="682"/>
      <x v="106"/>
      <x/>
    </i>
    <i>
      <x v="1080"/>
      <x v="119"/>
      <x v="107"/>
      <x v="24"/>
    </i>
    <i r="1">
      <x v="200"/>
      <x v="108"/>
      <x/>
    </i>
    <i>
      <x v="1094"/>
      <x v="508"/>
      <x v="109"/>
      <x/>
    </i>
    <i>
      <x v="1095"/>
      <x v="150"/>
      <x v="110"/>
      <x v="24"/>
    </i>
    <i>
      <x v="1096"/>
      <x v="683"/>
      <x v="111"/>
      <x/>
    </i>
    <i>
      <x v="1119"/>
      <x v="149"/>
      <x v="112"/>
      <x/>
    </i>
    <i>
      <x v="1129"/>
      <x v="150"/>
      <x v="113"/>
      <x/>
    </i>
    <i>
      <x v="1137"/>
      <x v="369"/>
      <x v="114"/>
      <x/>
    </i>
    <i>
      <x v="1143"/>
      <x v="54"/>
      <x v="115"/>
      <x/>
    </i>
    <i>
      <x v="1156"/>
      <x v="684"/>
      <x v="116"/>
      <x/>
    </i>
    <i>
      <x v="1179"/>
      <x v="378"/>
      <x v="117"/>
      <x/>
    </i>
    <i>
      <x v="1226"/>
      <x v="194"/>
      <x v="118"/>
      <x/>
    </i>
    <i>
      <x v="1233"/>
      <x v="203"/>
      <x v="119"/>
      <x v="24"/>
    </i>
    <i>
      <x v="1238"/>
      <x v="685"/>
      <x v="120"/>
      <x/>
    </i>
    <i>
      <x v="1251"/>
      <x v="644"/>
      <x v="121"/>
      <x/>
    </i>
    <i>
      <x v="1260"/>
      <x v="57"/>
      <x v="122"/>
      <x/>
    </i>
    <i>
      <x v="1262"/>
      <x v="557"/>
      <x v="123"/>
      <x v="24"/>
    </i>
    <i>
      <x v="1266"/>
      <x v="70"/>
      <x v="124"/>
      <x/>
    </i>
    <i>
      <x v="1274"/>
      <x v="207"/>
      <x v="125"/>
      <x/>
    </i>
  </rowItems>
  <colItems count="1">
    <i/>
  </colItems>
  <pageFields count="1">
    <pageField fld="0" item="21" hier="-1"/>
  </pageFields>
  <formats count="102">
    <format dxfId="264">
      <pivotArea dataOnly="0" labelOnly="1" outline="0" fieldPosition="0">
        <references count="1">
          <reference field="2" count="0"/>
        </references>
      </pivotArea>
    </format>
    <format dxfId="263">
      <pivotArea field="2" type="button" dataOnly="0" labelOnly="1" outline="0" axis="axisRow" fieldPosition="0"/>
    </format>
    <format dxfId="262">
      <pivotArea field="3" type="button" dataOnly="0" labelOnly="1" outline="0" axis="axisRow" fieldPosition="1"/>
    </format>
    <format dxfId="261">
      <pivotArea field="1" type="button" dataOnly="0" labelOnly="1" outline="0" axis="axisRow" fieldPosition="2"/>
    </format>
    <format dxfId="260">
      <pivotArea field="0" type="button" dataOnly="0" labelOnly="1" outline="0" axis="axisPage" fieldPosition="0"/>
    </format>
    <format dxfId="259">
      <pivotArea dataOnly="0" labelOnly="1" outline="0" fieldPosition="0">
        <references count="1">
          <reference field="0" count="1">
            <x v="0"/>
          </reference>
        </references>
      </pivotArea>
    </format>
    <format dxfId="258">
      <pivotArea field="0" type="button" dataOnly="0" labelOnly="1" outline="0" axis="axisPage" fieldPosition="0"/>
    </format>
    <format dxfId="257">
      <pivotArea dataOnly="0" labelOnly="1" outline="0" fieldPosition="0">
        <references count="1">
          <reference field="1" count="0"/>
        </references>
      </pivotArea>
    </format>
    <format dxfId="256">
      <pivotArea dataOnly="0" labelOnly="1" outline="0" fieldPosition="0">
        <references count="1">
          <reference field="2" count="1">
            <x v="113"/>
          </reference>
        </references>
      </pivotArea>
    </format>
    <format dxfId="255">
      <pivotArea dataOnly="0" labelOnly="1" outline="0" fieldPosition="0">
        <references count="2">
          <reference field="2" count="1" selected="0">
            <x v="113"/>
          </reference>
          <reference field="3" count="1">
            <x v="66"/>
          </reference>
        </references>
      </pivotArea>
    </format>
    <format dxfId="254">
      <pivotArea dataOnly="0" labelOnly="1" outline="0" fieldPosition="0">
        <references count="1">
          <reference field="2" count="1">
            <x v="113"/>
          </reference>
        </references>
      </pivotArea>
    </format>
    <format dxfId="253">
      <pivotArea dataOnly="0" labelOnly="1" outline="0" fieldPosition="0">
        <references count="2">
          <reference field="2" count="1" selected="0">
            <x v="113"/>
          </reference>
          <reference field="3" count="1">
            <x v="66"/>
          </reference>
        </references>
      </pivotArea>
    </format>
    <format dxfId="252">
      <pivotArea dataOnly="0" labelOnly="1" outline="0" fieldPosition="0">
        <references count="1">
          <reference field="2" count="1">
            <x v="145"/>
          </reference>
        </references>
      </pivotArea>
    </format>
    <format dxfId="251">
      <pivotArea dataOnly="0" labelOnly="1" outline="0" fieldPosition="0">
        <references count="2">
          <reference field="2" count="1" selected="0">
            <x v="145"/>
          </reference>
          <reference field="3" count="1">
            <x v="186"/>
          </reference>
        </references>
      </pivotArea>
    </format>
    <format dxfId="250">
      <pivotArea dataOnly="0" labelOnly="1" outline="0" fieldPosition="0">
        <references count="1">
          <reference field="2" count="1">
            <x v="145"/>
          </reference>
        </references>
      </pivotArea>
    </format>
    <format dxfId="249">
      <pivotArea dataOnly="0" labelOnly="1" outline="0" fieldPosition="0">
        <references count="2">
          <reference field="2" count="1" selected="0">
            <x v="145"/>
          </reference>
          <reference field="3" count="1">
            <x v="186"/>
          </reference>
        </references>
      </pivotArea>
    </format>
    <format dxfId="248">
      <pivotArea dataOnly="0" labelOnly="1" outline="0" fieldPosition="0">
        <references count="3">
          <reference field="1" count="1">
            <x v="0"/>
          </reference>
          <reference field="2" count="1" selected="0">
            <x v="35"/>
          </reference>
          <reference field="3" count="1" selected="0">
            <x v="31"/>
          </reference>
        </references>
      </pivotArea>
    </format>
    <format dxfId="247">
      <pivotArea dataOnly="0" labelOnly="1" outline="0" fieldPosition="0">
        <references count="3">
          <reference field="1" count="1">
            <x v="1"/>
          </reference>
          <reference field="2" count="1" selected="0">
            <x v="49"/>
          </reference>
          <reference field="3" count="1" selected="0">
            <x v="3"/>
          </reference>
        </references>
      </pivotArea>
    </format>
    <format dxfId="246">
      <pivotArea dataOnly="0" labelOnly="1" outline="0" fieldPosition="0">
        <references count="3">
          <reference field="1" count="1">
            <x v="2"/>
          </reference>
          <reference field="2" count="1" selected="0">
            <x v="142"/>
          </reference>
          <reference field="3" count="1" selected="0">
            <x v="118"/>
          </reference>
        </references>
      </pivotArea>
    </format>
    <format dxfId="245">
      <pivotArea dataOnly="0" labelOnly="1" outline="0" fieldPosition="0">
        <references count="3">
          <reference field="1" count="1">
            <x v="3"/>
          </reference>
          <reference field="2" count="1" selected="0">
            <x v="364"/>
          </reference>
          <reference field="3" count="1" selected="0">
            <x v="158"/>
          </reference>
        </references>
      </pivotArea>
    </format>
    <format dxfId="244">
      <pivotArea dataOnly="0" labelOnly="1" outline="0" fieldPosition="0">
        <references count="3">
          <reference field="1" count="1">
            <x v="4"/>
          </reference>
          <reference field="2" count="1" selected="0">
            <x v="457"/>
          </reference>
          <reference field="3" count="1" selected="0">
            <x v="108"/>
          </reference>
        </references>
      </pivotArea>
    </format>
    <format dxfId="243">
      <pivotArea dataOnly="0" labelOnly="1" outline="0" fieldPosition="0">
        <references count="3">
          <reference field="1" count="1">
            <x v="5"/>
          </reference>
          <reference field="2" count="1" selected="0">
            <x v="613"/>
          </reference>
          <reference field="3" count="1" selected="0">
            <x v="8"/>
          </reference>
        </references>
      </pivotArea>
    </format>
    <format dxfId="242">
      <pivotArea dataOnly="0" labelOnly="1" outline="0" fieldPosition="0">
        <references count="3">
          <reference field="1" count="1">
            <x v="6"/>
          </reference>
          <reference field="2" count="1" selected="0">
            <x v="649"/>
          </reference>
          <reference field="3" count="1" selected="0">
            <x v="221"/>
          </reference>
        </references>
      </pivotArea>
    </format>
    <format dxfId="241">
      <pivotArea dataOnly="0" labelOnly="1" outline="0" fieldPosition="0">
        <references count="3">
          <reference field="1" count="1">
            <x v="7"/>
          </reference>
          <reference field="2" count="1" selected="0">
            <x v="811"/>
          </reference>
          <reference field="3" count="1" selected="0">
            <x v="40"/>
          </reference>
        </references>
      </pivotArea>
    </format>
    <format dxfId="240">
      <pivotArea dataOnly="0" labelOnly="1" outline="0" fieldPosition="0">
        <references count="3">
          <reference field="1" count="1">
            <x v="8"/>
          </reference>
          <reference field="2" count="1" selected="0">
            <x v="971"/>
          </reference>
          <reference field="3" count="1" selected="0">
            <x v="113"/>
          </reference>
        </references>
      </pivotArea>
    </format>
    <format dxfId="239">
      <pivotArea dataOnly="0" labelOnly="1" outline="0" fieldPosition="0">
        <references count="3">
          <reference field="1" count="1">
            <x v="9"/>
          </reference>
          <reference field="2" count="1" selected="0">
            <x v="1158"/>
          </reference>
          <reference field="3" count="1" selected="0">
            <x v="29"/>
          </reference>
        </references>
      </pivotArea>
    </format>
    <format dxfId="238">
      <pivotArea dataOnly="0" labelOnly="1" outline="0" fieldPosition="0">
        <references count="3">
          <reference field="1" count="1">
            <x v="10"/>
          </reference>
          <reference field="2" count="1" selected="0">
            <x v="1202"/>
          </reference>
          <reference field="3" count="1" selected="0">
            <x v="159"/>
          </reference>
        </references>
      </pivotArea>
    </format>
    <format dxfId="237">
      <pivotArea dataOnly="0" labelOnly="1" outline="0" fieldPosition="0">
        <references count="3">
          <reference field="1" count="1">
            <x v="11"/>
          </reference>
          <reference field="2" count="1" selected="0">
            <x v="1202"/>
          </reference>
          <reference field="3" count="1" selected="0">
            <x v="204"/>
          </reference>
        </references>
      </pivotArea>
    </format>
    <format dxfId="236">
      <pivotArea field="1" type="button" dataOnly="0" labelOnly="1" outline="0" axis="axisRow" fieldPosition="2"/>
    </format>
    <format dxfId="235">
      <pivotArea dataOnly="0" labelOnly="1" outline="0" fieldPosition="0">
        <references count="1">
          <reference field="0" count="1">
            <x v="5"/>
          </reference>
        </references>
      </pivotArea>
    </format>
    <format dxfId="234">
      <pivotArea type="all" dataOnly="0" outline="0" fieldPosition="0"/>
    </format>
    <format dxfId="233">
      <pivotArea field="2" type="button" dataOnly="0" labelOnly="1" outline="0" axis="axisRow" fieldPosition="0"/>
    </format>
    <format dxfId="232">
      <pivotArea field="3" type="button" dataOnly="0" labelOnly="1" outline="0" axis="axisRow" fieldPosition="1"/>
    </format>
    <format dxfId="231">
      <pivotArea field="1" type="button" dataOnly="0" labelOnly="1" outline="0" axis="axisRow" fieldPosition="2"/>
    </format>
    <format dxfId="230">
      <pivotArea field="6" type="button" dataOnly="0" labelOnly="1" outline="0" axis="axisRow" fieldPosition="3"/>
    </format>
    <format dxfId="229">
      <pivotArea dataOnly="0" labelOnly="1" outline="0" fieldPosition="0">
        <references count="1">
          <reference field="2" count="19">
            <x v="73"/>
            <x v="127"/>
            <x v="228"/>
            <x v="240"/>
            <x v="259"/>
            <x v="261"/>
            <x v="308"/>
            <x v="310"/>
            <x v="339"/>
            <x v="402"/>
            <x v="503"/>
            <x v="566"/>
            <x v="770"/>
            <x v="771"/>
            <x v="858"/>
            <x v="949"/>
            <x v="986"/>
            <x v="1024"/>
            <x v="1081"/>
          </reference>
        </references>
      </pivotArea>
    </format>
    <format dxfId="228">
      <pivotArea dataOnly="0" labelOnly="1" outline="0" fieldPosition="0">
        <references count="2">
          <reference field="2" count="1" selected="0">
            <x v="73"/>
          </reference>
          <reference field="3" count="1">
            <x v="157"/>
          </reference>
        </references>
      </pivotArea>
    </format>
    <format dxfId="227">
      <pivotArea dataOnly="0" labelOnly="1" outline="0" fieldPosition="0">
        <references count="2">
          <reference field="2" count="1" selected="0">
            <x v="228"/>
          </reference>
          <reference field="3" count="2">
            <x v="35"/>
            <x v="111"/>
          </reference>
        </references>
      </pivotArea>
    </format>
    <format dxfId="226">
      <pivotArea dataOnly="0" labelOnly="1" outline="0" fieldPosition="0">
        <references count="2">
          <reference field="2" count="1" selected="0">
            <x v="240"/>
          </reference>
          <reference field="3" count="1">
            <x v="160"/>
          </reference>
        </references>
      </pivotArea>
    </format>
    <format dxfId="225">
      <pivotArea dataOnly="0" labelOnly="1" outline="0" fieldPosition="0">
        <references count="2">
          <reference field="2" count="1" selected="0">
            <x v="259"/>
          </reference>
          <reference field="3" count="2">
            <x v="204"/>
            <x v="397"/>
          </reference>
        </references>
      </pivotArea>
    </format>
    <format dxfId="224">
      <pivotArea dataOnly="0" labelOnly="1" outline="0" fieldPosition="0">
        <references count="2">
          <reference field="2" count="1" selected="0">
            <x v="261"/>
          </reference>
          <reference field="3" count="1">
            <x v="17"/>
          </reference>
        </references>
      </pivotArea>
    </format>
    <format dxfId="223">
      <pivotArea dataOnly="0" labelOnly="1" outline="0" fieldPosition="0">
        <references count="2">
          <reference field="2" count="1" selected="0">
            <x v="308"/>
          </reference>
          <reference field="3" count="2">
            <x v="224"/>
            <x v="460"/>
          </reference>
        </references>
      </pivotArea>
    </format>
    <format dxfId="222">
      <pivotArea dataOnly="0" labelOnly="1" outline="0" fieldPosition="0">
        <references count="2">
          <reference field="2" count="1" selected="0">
            <x v="310"/>
          </reference>
          <reference field="3" count="1">
            <x v="5"/>
          </reference>
        </references>
      </pivotArea>
    </format>
    <format dxfId="221">
      <pivotArea dataOnly="0" labelOnly="1" outline="0" fieldPosition="0">
        <references count="2">
          <reference field="2" count="1" selected="0">
            <x v="339"/>
          </reference>
          <reference field="3" count="1">
            <x v="128"/>
          </reference>
        </references>
      </pivotArea>
    </format>
    <format dxfId="220">
      <pivotArea dataOnly="0" labelOnly="1" outline="0" fieldPosition="0">
        <references count="2">
          <reference field="2" count="1" selected="0">
            <x v="402"/>
          </reference>
          <reference field="3" count="1">
            <x v="422"/>
          </reference>
        </references>
      </pivotArea>
    </format>
    <format dxfId="219">
      <pivotArea dataOnly="0" labelOnly="1" outline="0" fieldPosition="0">
        <references count="2">
          <reference field="2" count="1" selected="0">
            <x v="503"/>
          </reference>
          <reference field="3" count="1">
            <x v="203"/>
          </reference>
        </references>
      </pivotArea>
    </format>
    <format dxfId="218">
      <pivotArea dataOnly="0" labelOnly="1" outline="0" fieldPosition="0">
        <references count="2">
          <reference field="2" count="1" selected="0">
            <x v="566"/>
          </reference>
          <reference field="3" count="1">
            <x v="97"/>
          </reference>
        </references>
      </pivotArea>
    </format>
    <format dxfId="217">
      <pivotArea dataOnly="0" labelOnly="1" outline="0" fieldPosition="0">
        <references count="2">
          <reference field="2" count="1" selected="0">
            <x v="770"/>
          </reference>
          <reference field="3" count="1">
            <x v="418"/>
          </reference>
        </references>
      </pivotArea>
    </format>
    <format dxfId="216">
      <pivotArea dataOnly="0" labelOnly="1" outline="0" fieldPosition="0">
        <references count="2">
          <reference field="2" count="1" selected="0">
            <x v="771"/>
          </reference>
          <reference field="3" count="1">
            <x v="162"/>
          </reference>
        </references>
      </pivotArea>
    </format>
    <format dxfId="215">
      <pivotArea dataOnly="0" labelOnly="1" outline="0" fieldPosition="0">
        <references count="2">
          <reference field="2" count="1" selected="0">
            <x v="858"/>
          </reference>
          <reference field="3" count="1">
            <x v="320"/>
          </reference>
        </references>
      </pivotArea>
    </format>
    <format dxfId="214">
      <pivotArea dataOnly="0" labelOnly="1" outline="0" fieldPosition="0">
        <references count="2">
          <reference field="2" count="1" selected="0">
            <x v="949"/>
          </reference>
          <reference field="3" count="2">
            <x v="163"/>
            <x v="277"/>
          </reference>
        </references>
      </pivotArea>
    </format>
    <format dxfId="213">
      <pivotArea dataOnly="0" labelOnly="1" outline="0" fieldPosition="0">
        <references count="2">
          <reference field="2" count="1" selected="0">
            <x v="986"/>
          </reference>
          <reference field="3" count="2">
            <x v="234"/>
            <x v="281"/>
          </reference>
        </references>
      </pivotArea>
    </format>
    <format dxfId="212">
      <pivotArea dataOnly="0" labelOnly="1" outline="0" fieldPosition="0">
        <references count="2">
          <reference field="2" count="1" selected="0">
            <x v="1024"/>
          </reference>
          <reference field="3" count="1">
            <x v="191"/>
          </reference>
        </references>
      </pivotArea>
    </format>
    <format dxfId="211">
      <pivotArea dataOnly="0" labelOnly="1" outline="0" fieldPosition="0">
        <references count="2">
          <reference field="2" count="1" selected="0">
            <x v="1081"/>
          </reference>
          <reference field="3" count="1">
            <x v="5"/>
          </reference>
        </references>
      </pivotArea>
    </format>
    <format dxfId="210">
      <pivotArea dataOnly="0" labelOnly="1" outline="0" fieldPosition="0">
        <references count="3">
          <reference field="1" count="1">
            <x v="0"/>
          </reference>
          <reference field="2" count="1" selected="0">
            <x v="73"/>
          </reference>
          <reference field="3" count="1" selected="0">
            <x v="157"/>
          </reference>
        </references>
      </pivotArea>
    </format>
    <format dxfId="209">
      <pivotArea dataOnly="0" labelOnly="1" outline="0" fieldPosition="0">
        <references count="3">
          <reference field="1" count="1">
            <x v="1"/>
          </reference>
          <reference field="2" count="1" selected="0">
            <x v="127"/>
          </reference>
          <reference field="3" count="1" selected="0">
            <x v="157"/>
          </reference>
        </references>
      </pivotArea>
    </format>
    <format dxfId="208">
      <pivotArea dataOnly="0" labelOnly="1" outline="0" fieldPosition="0">
        <references count="3">
          <reference field="1" count="1">
            <x v="2"/>
          </reference>
          <reference field="2" count="1" selected="0">
            <x v="228"/>
          </reference>
          <reference field="3" count="1" selected="0">
            <x v="35"/>
          </reference>
        </references>
      </pivotArea>
    </format>
    <format dxfId="207">
      <pivotArea dataOnly="0" labelOnly="1" outline="0" fieldPosition="0">
        <references count="3">
          <reference field="1" count="1">
            <x v="3"/>
          </reference>
          <reference field="2" count="1" selected="0">
            <x v="228"/>
          </reference>
          <reference field="3" count="1" selected="0">
            <x v="111"/>
          </reference>
        </references>
      </pivotArea>
    </format>
    <format dxfId="206">
      <pivotArea dataOnly="0" labelOnly="1" outline="0" fieldPosition="0">
        <references count="3">
          <reference field="1" count="1">
            <x v="4"/>
          </reference>
          <reference field="2" count="1" selected="0">
            <x v="240"/>
          </reference>
          <reference field="3" count="1" selected="0">
            <x v="160"/>
          </reference>
        </references>
      </pivotArea>
    </format>
    <format dxfId="205">
      <pivotArea dataOnly="0" labelOnly="1" outline="0" fieldPosition="0">
        <references count="3">
          <reference field="1" count="1">
            <x v="6"/>
          </reference>
          <reference field="2" count="1" selected="0">
            <x v="259"/>
          </reference>
          <reference field="3" count="1" selected="0">
            <x v="204"/>
          </reference>
        </references>
      </pivotArea>
    </format>
    <format dxfId="204">
      <pivotArea dataOnly="0" labelOnly="1" outline="0" fieldPosition="0">
        <references count="3">
          <reference field="1" count="1">
            <x v="5"/>
          </reference>
          <reference field="2" count="1" selected="0">
            <x v="259"/>
          </reference>
          <reference field="3" count="1" selected="0">
            <x v="397"/>
          </reference>
        </references>
      </pivotArea>
    </format>
    <format dxfId="203">
      <pivotArea dataOnly="0" labelOnly="1" outline="0" fieldPosition="0">
        <references count="3">
          <reference field="1" count="1">
            <x v="7"/>
          </reference>
          <reference field="2" count="1" selected="0">
            <x v="261"/>
          </reference>
          <reference field="3" count="1" selected="0">
            <x v="17"/>
          </reference>
        </references>
      </pivotArea>
    </format>
    <format dxfId="202">
      <pivotArea dataOnly="0" labelOnly="1" outline="0" fieldPosition="0">
        <references count="3">
          <reference field="1" count="1">
            <x v="9"/>
          </reference>
          <reference field="2" count="1" selected="0">
            <x v="308"/>
          </reference>
          <reference field="3" count="1" selected="0">
            <x v="224"/>
          </reference>
        </references>
      </pivotArea>
    </format>
    <format dxfId="201">
      <pivotArea dataOnly="0" labelOnly="1" outline="0" fieldPosition="0">
        <references count="3">
          <reference field="1" count="1">
            <x v="8"/>
          </reference>
          <reference field="2" count="1" selected="0">
            <x v="308"/>
          </reference>
          <reference field="3" count="1" selected="0">
            <x v="460"/>
          </reference>
        </references>
      </pivotArea>
    </format>
    <format dxfId="200">
      <pivotArea dataOnly="0" labelOnly="1" outline="0" fieldPosition="0">
        <references count="3">
          <reference field="1" count="1">
            <x v="10"/>
          </reference>
          <reference field="2" count="1" selected="0">
            <x v="310"/>
          </reference>
          <reference field="3" count="1" selected="0">
            <x v="5"/>
          </reference>
        </references>
      </pivotArea>
    </format>
    <format dxfId="199">
      <pivotArea dataOnly="0" labelOnly="1" outline="0" fieldPosition="0">
        <references count="3">
          <reference field="1" count="1">
            <x v="11"/>
          </reference>
          <reference field="2" count="1" selected="0">
            <x v="339"/>
          </reference>
          <reference field="3" count="1" selected="0">
            <x v="128"/>
          </reference>
        </references>
      </pivotArea>
    </format>
    <format dxfId="198">
      <pivotArea dataOnly="0" labelOnly="1" outline="0" fieldPosition="0">
        <references count="3">
          <reference field="1" count="1">
            <x v="12"/>
          </reference>
          <reference field="2" count="1" selected="0">
            <x v="402"/>
          </reference>
          <reference field="3" count="1" selected="0">
            <x v="422"/>
          </reference>
        </references>
      </pivotArea>
    </format>
    <format dxfId="197">
      <pivotArea dataOnly="0" labelOnly="1" outline="0" fieldPosition="0">
        <references count="3">
          <reference field="1" count="1">
            <x v="13"/>
          </reference>
          <reference field="2" count="1" selected="0">
            <x v="503"/>
          </reference>
          <reference field="3" count="1" selected="0">
            <x v="203"/>
          </reference>
        </references>
      </pivotArea>
    </format>
    <format dxfId="196">
      <pivotArea dataOnly="0" labelOnly="1" outline="0" fieldPosition="0">
        <references count="3">
          <reference field="1" count="1">
            <x v="14"/>
          </reference>
          <reference field="2" count="1" selected="0">
            <x v="566"/>
          </reference>
          <reference field="3" count="1" selected="0">
            <x v="97"/>
          </reference>
        </references>
      </pivotArea>
    </format>
    <format dxfId="195">
      <pivotArea dataOnly="0" labelOnly="1" outline="0" fieldPosition="0">
        <references count="3">
          <reference field="1" count="1">
            <x v="15"/>
          </reference>
          <reference field="2" count="1" selected="0">
            <x v="770"/>
          </reference>
          <reference field="3" count="1" selected="0">
            <x v="418"/>
          </reference>
        </references>
      </pivotArea>
    </format>
    <format dxfId="194">
      <pivotArea dataOnly="0" labelOnly="1" outline="0" fieldPosition="0">
        <references count="3">
          <reference field="1" count="1">
            <x v="16"/>
          </reference>
          <reference field="2" count="1" selected="0">
            <x v="771"/>
          </reference>
          <reference field="3" count="1" selected="0">
            <x v="162"/>
          </reference>
        </references>
      </pivotArea>
    </format>
    <format dxfId="193">
      <pivotArea dataOnly="0" labelOnly="1" outline="0" fieldPosition="0">
        <references count="3">
          <reference field="1" count="1">
            <x v="17"/>
          </reference>
          <reference field="2" count="1" selected="0">
            <x v="858"/>
          </reference>
          <reference field="3" count="1" selected="0">
            <x v="320"/>
          </reference>
        </references>
      </pivotArea>
    </format>
    <format dxfId="192">
      <pivotArea dataOnly="0" labelOnly="1" outline="0" fieldPosition="0">
        <references count="3">
          <reference field="1" count="1">
            <x v="19"/>
          </reference>
          <reference field="2" count="1" selected="0">
            <x v="949"/>
          </reference>
          <reference field="3" count="1" selected="0">
            <x v="163"/>
          </reference>
        </references>
      </pivotArea>
    </format>
    <format dxfId="191">
      <pivotArea dataOnly="0" labelOnly="1" outline="0" fieldPosition="0">
        <references count="3">
          <reference field="1" count="1">
            <x v="18"/>
          </reference>
          <reference field="2" count="1" selected="0">
            <x v="949"/>
          </reference>
          <reference field="3" count="1" selected="0">
            <x v="277"/>
          </reference>
        </references>
      </pivotArea>
    </format>
    <format dxfId="190">
      <pivotArea dataOnly="0" labelOnly="1" outline="0" fieldPosition="0">
        <references count="3">
          <reference field="1" count="1">
            <x v="21"/>
          </reference>
          <reference field="2" count="1" selected="0">
            <x v="986"/>
          </reference>
          <reference field="3" count="1" selected="0">
            <x v="234"/>
          </reference>
        </references>
      </pivotArea>
    </format>
    <format dxfId="189">
      <pivotArea dataOnly="0" labelOnly="1" outline="0" fieldPosition="0">
        <references count="3">
          <reference field="1" count="1">
            <x v="20"/>
          </reference>
          <reference field="2" count="1" selected="0">
            <x v="986"/>
          </reference>
          <reference field="3" count="1" selected="0">
            <x v="281"/>
          </reference>
        </references>
      </pivotArea>
    </format>
    <format dxfId="188">
      <pivotArea dataOnly="0" labelOnly="1" outline="0" fieldPosition="0">
        <references count="3">
          <reference field="1" count="1">
            <x v="22"/>
          </reference>
          <reference field="2" count="1" selected="0">
            <x v="1024"/>
          </reference>
          <reference field="3" count="1" selected="0">
            <x v="191"/>
          </reference>
        </references>
      </pivotArea>
    </format>
    <format dxfId="187">
      <pivotArea dataOnly="0" labelOnly="1" outline="0" fieldPosition="0">
        <references count="3">
          <reference field="1" count="1">
            <x v="23"/>
          </reference>
          <reference field="2" count="1" selected="0">
            <x v="1081"/>
          </reference>
          <reference field="3" count="1" selected="0">
            <x v="5"/>
          </reference>
        </references>
      </pivotArea>
    </format>
    <format dxfId="186">
      <pivotArea dataOnly="0" labelOnly="1" outline="0" fieldPosition="0">
        <references count="4">
          <reference field="1" count="1" selected="0">
            <x v="0"/>
          </reference>
          <reference field="2" count="1" selected="0">
            <x v="73"/>
          </reference>
          <reference field="3" count="1" selected="0">
            <x v="157"/>
          </reference>
          <reference field="6" count="1">
            <x v="19"/>
          </reference>
        </references>
      </pivotArea>
    </format>
    <format dxfId="185">
      <pivotArea dataOnly="0" labelOnly="1" outline="0" fieldPosition="0">
        <references count="4">
          <reference field="1" count="1" selected="0">
            <x v="1"/>
          </reference>
          <reference field="2" count="1" selected="0">
            <x v="127"/>
          </reference>
          <reference field="3" count="1" selected="0">
            <x v="157"/>
          </reference>
          <reference field="6" count="1">
            <x v="19"/>
          </reference>
        </references>
      </pivotArea>
    </format>
    <format dxfId="184">
      <pivotArea dataOnly="0" labelOnly="1" outline="0" fieldPosition="0">
        <references count="4">
          <reference field="1" count="1" selected="0">
            <x v="2"/>
          </reference>
          <reference field="2" count="1" selected="0">
            <x v="228"/>
          </reference>
          <reference field="3" count="1" selected="0">
            <x v="35"/>
          </reference>
          <reference field="6" count="1">
            <x v="19"/>
          </reference>
        </references>
      </pivotArea>
    </format>
    <format dxfId="183">
      <pivotArea dataOnly="0" labelOnly="1" outline="0" fieldPosition="0">
        <references count="4">
          <reference field="1" count="1" selected="0">
            <x v="3"/>
          </reference>
          <reference field="2" count="1" selected="0">
            <x v="228"/>
          </reference>
          <reference field="3" count="1" selected="0">
            <x v="111"/>
          </reference>
          <reference field="6" count="1">
            <x v="19"/>
          </reference>
        </references>
      </pivotArea>
    </format>
    <format dxfId="182">
      <pivotArea dataOnly="0" labelOnly="1" outline="0" fieldPosition="0">
        <references count="4">
          <reference field="1" count="1" selected="0">
            <x v="4"/>
          </reference>
          <reference field="2" count="1" selected="0">
            <x v="240"/>
          </reference>
          <reference field="3" count="1" selected="0">
            <x v="160"/>
          </reference>
          <reference field="6" count="1">
            <x v="19"/>
          </reference>
        </references>
      </pivotArea>
    </format>
    <format dxfId="181">
      <pivotArea dataOnly="0" labelOnly="1" outline="0" fieldPosition="0">
        <references count="4">
          <reference field="1" count="1" selected="0">
            <x v="6"/>
          </reference>
          <reference field="2" count="1" selected="0">
            <x v="259"/>
          </reference>
          <reference field="3" count="1" selected="0">
            <x v="204"/>
          </reference>
          <reference field="6" count="1">
            <x v="19"/>
          </reference>
        </references>
      </pivotArea>
    </format>
    <format dxfId="180">
      <pivotArea dataOnly="0" labelOnly="1" outline="0" fieldPosition="0">
        <references count="4">
          <reference field="1" count="1" selected="0">
            <x v="5"/>
          </reference>
          <reference field="2" count="1" selected="0">
            <x v="259"/>
          </reference>
          <reference field="3" count="1" selected="0">
            <x v="397"/>
          </reference>
          <reference field="6" count="1">
            <x v="19"/>
          </reference>
        </references>
      </pivotArea>
    </format>
    <format dxfId="179">
      <pivotArea dataOnly="0" labelOnly="1" outline="0" fieldPosition="0">
        <references count="4">
          <reference field="1" count="1" selected="0">
            <x v="7"/>
          </reference>
          <reference field="2" count="1" selected="0">
            <x v="261"/>
          </reference>
          <reference field="3" count="1" selected="0">
            <x v="17"/>
          </reference>
          <reference field="6" count="1">
            <x v="19"/>
          </reference>
        </references>
      </pivotArea>
    </format>
    <format dxfId="178">
      <pivotArea dataOnly="0" labelOnly="1" outline="0" fieldPosition="0">
        <references count="4">
          <reference field="1" count="1" selected="0">
            <x v="9"/>
          </reference>
          <reference field="2" count="1" selected="0">
            <x v="308"/>
          </reference>
          <reference field="3" count="1" selected="0">
            <x v="224"/>
          </reference>
          <reference field="6" count="1">
            <x v="19"/>
          </reference>
        </references>
      </pivotArea>
    </format>
    <format dxfId="177">
      <pivotArea dataOnly="0" labelOnly="1" outline="0" fieldPosition="0">
        <references count="4">
          <reference field="1" count="1" selected="0">
            <x v="8"/>
          </reference>
          <reference field="2" count="1" selected="0">
            <x v="308"/>
          </reference>
          <reference field="3" count="1" selected="0">
            <x v="460"/>
          </reference>
          <reference field="6" count="1">
            <x v="19"/>
          </reference>
        </references>
      </pivotArea>
    </format>
    <format dxfId="176">
      <pivotArea dataOnly="0" labelOnly="1" outline="0" fieldPosition="0">
        <references count="4">
          <reference field="1" count="1" selected="0">
            <x v="10"/>
          </reference>
          <reference field="2" count="1" selected="0">
            <x v="310"/>
          </reference>
          <reference field="3" count="1" selected="0">
            <x v="5"/>
          </reference>
          <reference field="6" count="1">
            <x v="19"/>
          </reference>
        </references>
      </pivotArea>
    </format>
    <format dxfId="175">
      <pivotArea dataOnly="0" labelOnly="1" outline="0" fieldPosition="0">
        <references count="4">
          <reference field="1" count="1" selected="0">
            <x v="11"/>
          </reference>
          <reference field="2" count="1" selected="0">
            <x v="339"/>
          </reference>
          <reference field="3" count="1" selected="0">
            <x v="128"/>
          </reference>
          <reference field="6" count="1">
            <x v="19"/>
          </reference>
        </references>
      </pivotArea>
    </format>
    <format dxfId="174">
      <pivotArea dataOnly="0" labelOnly="1" outline="0" fieldPosition="0">
        <references count="4">
          <reference field="1" count="1" selected="0">
            <x v="12"/>
          </reference>
          <reference field="2" count="1" selected="0">
            <x v="402"/>
          </reference>
          <reference field="3" count="1" selected="0">
            <x v="422"/>
          </reference>
          <reference field="6" count="1">
            <x v="19"/>
          </reference>
        </references>
      </pivotArea>
    </format>
    <format dxfId="173">
      <pivotArea dataOnly="0" labelOnly="1" outline="0" fieldPosition="0">
        <references count="4">
          <reference field="1" count="1" selected="0">
            <x v="13"/>
          </reference>
          <reference field="2" count="1" selected="0">
            <x v="503"/>
          </reference>
          <reference field="3" count="1" selected="0">
            <x v="203"/>
          </reference>
          <reference field="6" count="1">
            <x v="19"/>
          </reference>
        </references>
      </pivotArea>
    </format>
    <format dxfId="172">
      <pivotArea dataOnly="0" labelOnly="1" outline="0" fieldPosition="0">
        <references count="4">
          <reference field="1" count="1" selected="0">
            <x v="14"/>
          </reference>
          <reference field="2" count="1" selected="0">
            <x v="566"/>
          </reference>
          <reference field="3" count="1" selected="0">
            <x v="97"/>
          </reference>
          <reference field="6" count="1">
            <x v="19"/>
          </reference>
        </references>
      </pivotArea>
    </format>
    <format dxfId="171">
      <pivotArea dataOnly="0" labelOnly="1" outline="0" fieldPosition="0">
        <references count="4">
          <reference field="1" count="1" selected="0">
            <x v="15"/>
          </reference>
          <reference field="2" count="1" selected="0">
            <x v="770"/>
          </reference>
          <reference field="3" count="1" selected="0">
            <x v="418"/>
          </reference>
          <reference field="6" count="1">
            <x v="19"/>
          </reference>
        </references>
      </pivotArea>
    </format>
    <format dxfId="170">
      <pivotArea dataOnly="0" labelOnly="1" outline="0" fieldPosition="0">
        <references count="4">
          <reference field="1" count="1" selected="0">
            <x v="16"/>
          </reference>
          <reference field="2" count="1" selected="0">
            <x v="771"/>
          </reference>
          <reference field="3" count="1" selected="0">
            <x v="162"/>
          </reference>
          <reference field="6" count="1">
            <x v="19"/>
          </reference>
        </references>
      </pivotArea>
    </format>
    <format dxfId="169">
      <pivotArea dataOnly="0" labelOnly="1" outline="0" fieldPosition="0">
        <references count="4">
          <reference field="1" count="1" selected="0">
            <x v="17"/>
          </reference>
          <reference field="2" count="1" selected="0">
            <x v="858"/>
          </reference>
          <reference field="3" count="1" selected="0">
            <x v="320"/>
          </reference>
          <reference field="6" count="1">
            <x v="19"/>
          </reference>
        </references>
      </pivotArea>
    </format>
    <format dxfId="168">
      <pivotArea dataOnly="0" labelOnly="1" outline="0" fieldPosition="0">
        <references count="4">
          <reference field="1" count="1" selected="0">
            <x v="19"/>
          </reference>
          <reference field="2" count="1" selected="0">
            <x v="949"/>
          </reference>
          <reference field="3" count="1" selected="0">
            <x v="163"/>
          </reference>
          <reference field="6" count="1">
            <x v="19"/>
          </reference>
        </references>
      </pivotArea>
    </format>
    <format dxfId="167">
      <pivotArea dataOnly="0" labelOnly="1" outline="0" fieldPosition="0">
        <references count="4">
          <reference field="1" count="1" selected="0">
            <x v="18"/>
          </reference>
          <reference field="2" count="1" selected="0">
            <x v="949"/>
          </reference>
          <reference field="3" count="1" selected="0">
            <x v="277"/>
          </reference>
          <reference field="6" count="1">
            <x v="19"/>
          </reference>
        </references>
      </pivotArea>
    </format>
    <format dxfId="166">
      <pivotArea dataOnly="0" labelOnly="1" outline="0" fieldPosition="0">
        <references count="4">
          <reference field="1" count="1" selected="0">
            <x v="21"/>
          </reference>
          <reference field="2" count="1" selected="0">
            <x v="986"/>
          </reference>
          <reference field="3" count="1" selected="0">
            <x v="234"/>
          </reference>
          <reference field="6" count="1">
            <x v="19"/>
          </reference>
        </references>
      </pivotArea>
    </format>
    <format dxfId="165">
      <pivotArea dataOnly="0" labelOnly="1" outline="0" fieldPosition="0">
        <references count="4">
          <reference field="1" count="1" selected="0">
            <x v="20"/>
          </reference>
          <reference field="2" count="1" selected="0">
            <x v="986"/>
          </reference>
          <reference field="3" count="1" selected="0">
            <x v="281"/>
          </reference>
          <reference field="6" count="1">
            <x v="19"/>
          </reference>
        </references>
      </pivotArea>
    </format>
    <format dxfId="164">
      <pivotArea dataOnly="0" labelOnly="1" outline="0" fieldPosition="0">
        <references count="4">
          <reference field="1" count="1" selected="0">
            <x v="22"/>
          </reference>
          <reference field="2" count="1" selected="0">
            <x v="1024"/>
          </reference>
          <reference field="3" count="1" selected="0">
            <x v="191"/>
          </reference>
          <reference field="6" count="1">
            <x v="19"/>
          </reference>
        </references>
      </pivotArea>
    </format>
    <format dxfId="163">
      <pivotArea dataOnly="0" labelOnly="1" outline="0" fieldPosition="0">
        <references count="4">
          <reference field="1" count="1" selected="0">
            <x v="23"/>
          </reference>
          <reference field="2" count="1" selected="0">
            <x v="1081"/>
          </reference>
          <reference field="3" count="1" selected="0">
            <x v="5"/>
          </reference>
          <reference field="6" count="1">
            <x v="19"/>
          </reference>
        </references>
      </pivotArea>
    </format>
  </formats>
  <pivotTableStyleInfo name="PivotStyleMedium7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1000000}" name="Tableau croisé dynamique6" cacheId="0" applyNumberFormats="0" applyBorderFormats="0" applyFontFormats="0" applyPatternFormats="0" applyAlignmentFormats="0" applyWidthHeightFormats="1" dataCaption="Valeurs" updatedVersion="8" minRefreshableVersion="3" showDrill="0" showDataTips="0" rowGrandTotals="0" colGrandTotals="0" itemPrintTitles="1" createdVersion="5" indent="0" compact="0" compactData="0" multipleFieldFilters="0">
  <location ref="AC18:AF49" firstHeaderRow="1" firstDataRow="1" firstDataCol="4" rowPageCount="1" colPageCount="1"/>
  <pivotFields count="7">
    <pivotField axis="axisPage" compact="0" outline="0" showAll="0">
      <items count="37">
        <item x="0"/>
        <item x="1"/>
        <item x="2"/>
        <item m="1" x="34"/>
        <item x="3"/>
        <item x="4"/>
        <item x="5"/>
        <item x="6"/>
        <item m="1" x="29"/>
        <item x="7"/>
        <item x="8"/>
        <item m="1" x="27"/>
        <item x="10"/>
        <item m="1" x="23"/>
        <item x="11"/>
        <item m="1" x="35"/>
        <item x="12"/>
        <item x="13"/>
        <item x="15"/>
        <item m="1" x="31"/>
        <item m="1" x="21"/>
        <item x="16"/>
        <item x="17"/>
        <item x="18"/>
        <item x="19"/>
        <item m="1" x="24"/>
        <item m="1" x="28"/>
        <item x="9"/>
        <item m="1" x="25"/>
        <item m="1" x="30"/>
        <item x="14"/>
        <item m="1" x="26"/>
        <item m="1" x="32"/>
        <item m="1" x="22"/>
        <item m="1" x="20"/>
        <item m="1" x="33"/>
        <item t="default"/>
      </items>
    </pivotField>
    <pivotField name="Code" axis="axisRow" compact="0" outline="0" showAll="0" defaultSubtotal="0">
      <items count="12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</items>
    </pivotField>
    <pivotField axis="axisRow" compact="0" outline="0" showAll="0" sortType="ascending" defaultSubtotal="0">
      <items count="1276">
        <item x="29"/>
        <item m="1" x="728"/>
        <item x="392"/>
        <item x="393"/>
        <item m="1" x="807"/>
        <item m="1" x="624"/>
        <item x="394"/>
        <item m="1" x="596"/>
        <item x="327"/>
        <item x="528"/>
        <item x="328"/>
        <item m="1" x="832"/>
        <item m="1" x="1184"/>
        <item x="74"/>
        <item m="1" x="676"/>
        <item m="1" x="867"/>
        <item m="1" x="1015"/>
        <item x="329"/>
        <item x="132"/>
        <item x="182"/>
        <item x="60"/>
        <item x="61"/>
        <item m="1" x="1089"/>
        <item m="1" x="658"/>
        <item m="1" x="1217"/>
        <item m="1" x="1039"/>
        <item x="330"/>
        <item m="1" x="721"/>
        <item m="1" x="606"/>
        <item m="1" x="828"/>
        <item m="1" x="688"/>
        <item m="1" x="712"/>
        <item x="0"/>
        <item x="490"/>
        <item m="1" x="1064"/>
        <item m="1" x="918"/>
        <item x="331"/>
        <item m="1" x="611"/>
        <item m="1" x="1035"/>
        <item x="183"/>
        <item m="1" x="975"/>
        <item m="1" x="587"/>
        <item x="133"/>
        <item m="1" x="1222"/>
        <item m="1" x="1066"/>
        <item m="1" x="1025"/>
        <item m="1" x="1200"/>
        <item x="529"/>
        <item m="1" x="945"/>
        <item m="1" x="1271"/>
        <item x="1"/>
        <item x="30"/>
        <item m="1" x="1265"/>
        <item m="1" x="902"/>
        <item x="395"/>
        <item x="184"/>
        <item m="1" x="776"/>
        <item x="75"/>
        <item m="1" x="1017"/>
        <item x="31"/>
        <item m="1" x="1247"/>
        <item m="1" x="744"/>
        <item x="185"/>
        <item m="1" x="731"/>
        <item m="1" x="1258"/>
        <item x="186"/>
        <item m="1" x="737"/>
        <item x="269"/>
        <item x="134"/>
        <item x="332"/>
        <item m="1" x="1257"/>
        <item m="1" x="991"/>
        <item x="289"/>
        <item x="76"/>
        <item m="1" x="641"/>
        <item m="1" x="915"/>
        <item m="1" x="1109"/>
        <item x="187"/>
        <item m="1" x="906"/>
        <item m="1" x="746"/>
        <item m="1" x="690"/>
        <item m="1" x="933"/>
        <item m="1" x="1191"/>
        <item m="1" x="1250"/>
        <item m="1" x="1049"/>
        <item x="114"/>
        <item x="135"/>
        <item x="188"/>
        <item m="1" x="582"/>
        <item x="136"/>
        <item x="137"/>
        <item m="1" x="726"/>
        <item x="32"/>
        <item m="1" x="597"/>
        <item m="1" x="1220"/>
        <item x="270"/>
        <item m="1" x="864"/>
        <item m="1" x="591"/>
        <item x="290"/>
        <item m="1" x="940"/>
        <item m="1" x="999"/>
        <item x="491"/>
        <item m="1" x="905"/>
        <item m="1" x="800"/>
        <item m="1" x="1268"/>
        <item m="1" x="586"/>
        <item x="189"/>
        <item m="1" x="1102"/>
        <item x="554"/>
        <item x="396"/>
        <item m="1" x="1193"/>
        <item x="190"/>
        <item x="530"/>
        <item m="1" x="769"/>
        <item x="379"/>
        <item m="1" x="1036"/>
        <item x="304"/>
        <item x="271"/>
        <item x="397"/>
        <item m="1" x="735"/>
        <item x="555"/>
        <item m="1" x="931"/>
        <item m="1" x="794"/>
        <item m="1" x="1196"/>
        <item m="1" x="964"/>
        <item m="1" x="1114"/>
        <item x="2"/>
        <item x="77"/>
        <item m="1" x="1261"/>
        <item m="1" x="801"/>
        <item x="398"/>
        <item m="1" x="967"/>
        <item m="1" x="752"/>
        <item x="115"/>
        <item m="1" x="812"/>
        <item m="1" x="956"/>
        <item x="191"/>
        <item m="1" x="747"/>
        <item m="1" x="652"/>
        <item x="399"/>
        <item m="1" x="969"/>
        <item m="1" x="831"/>
        <item m="1" x="874"/>
        <item x="192"/>
        <item x="138"/>
        <item m="1" x="1221"/>
        <item m="1" x="1073"/>
        <item m="1" x="1167"/>
        <item x="400"/>
        <item x="531"/>
        <item m="1" x="1147"/>
        <item x="532"/>
        <item m="1" x="1272"/>
        <item m="1" x="1143"/>
        <item x="401"/>
        <item m="1" x="1240"/>
        <item x="50"/>
        <item x="556"/>
        <item x="193"/>
        <item x="139"/>
        <item x="140"/>
        <item x="333"/>
        <item m="1" x="1238"/>
        <item m="1" x="910"/>
        <item x="380"/>
        <item m="1" x="979"/>
        <item x="402"/>
        <item m="1" x="1010"/>
        <item x="33"/>
        <item x="194"/>
        <item m="1" x="893"/>
        <item m="1" x="818"/>
        <item x="141"/>
        <item m="1" x="1224"/>
        <item m="1" x="643"/>
        <item x="79"/>
        <item x="116"/>
        <item m="1" x="833"/>
        <item m="1" x="725"/>
        <item m="1" x="1013"/>
        <item x="195"/>
        <item x="78"/>
        <item x="334"/>
        <item m="1" x="856"/>
        <item x="80"/>
        <item m="1" x="1177"/>
        <item x="492"/>
        <item m="1" x="774"/>
        <item m="1" x="1045"/>
        <item m="1" x="748"/>
        <item x="142"/>
        <item m="1" x="613"/>
        <item m="1" x="736"/>
        <item x="493"/>
        <item m="1" x="694"/>
        <item x="403"/>
        <item m="1" x="1087"/>
        <item m="1" x="1058"/>
        <item x="335"/>
        <item x="557"/>
        <item m="1" x="1118"/>
        <item x="81"/>
        <item m="1" x="1074"/>
        <item x="494"/>
        <item m="1" x="599"/>
        <item m="1" x="782"/>
        <item x="495"/>
        <item x="3"/>
        <item m="1" x="1235"/>
        <item x="196"/>
        <item x="404"/>
        <item m="1" x="604"/>
        <item x="197"/>
        <item m="1" x="1117"/>
        <item m="1" x="1207"/>
        <item x="198"/>
        <item x="405"/>
        <item m="1" x="896"/>
        <item m="1" x="1138"/>
        <item x="4"/>
        <item x="496"/>
        <item x="406"/>
        <item m="1" x="1239"/>
        <item m="1" x="926"/>
        <item m="1" x="1245"/>
        <item m="1" x="734"/>
        <item x="336"/>
        <item m="1" x="777"/>
        <item x="82"/>
        <item x="272"/>
        <item x="407"/>
        <item x="337"/>
        <item x="408"/>
        <item m="1" x="1182"/>
        <item m="1" x="1267"/>
        <item m="1" x="803"/>
        <item x="409"/>
        <item m="1" x="651"/>
        <item m="1" x="1078"/>
        <item m="1" x="745"/>
        <item m="1" x="988"/>
        <item x="558"/>
        <item x="559"/>
        <item x="199"/>
        <item m="1" x="1243"/>
        <item x="533"/>
        <item x="273"/>
        <item x="305"/>
        <item x="338"/>
        <item m="1" x="809"/>
        <item m="1" x="852"/>
        <item x="200"/>
        <item m="1" x="894"/>
        <item x="410"/>
        <item x="497"/>
        <item m="1" x="670"/>
        <item m="1" x="850"/>
        <item x="339"/>
        <item m="1" x="1002"/>
        <item x="83"/>
        <item m="1" x="995"/>
        <item x="84"/>
        <item m="1" x="572"/>
        <item x="411"/>
        <item m="1" x="1091"/>
        <item m="1" x="878"/>
        <item m="1" x="573"/>
        <item m="1" x="862"/>
        <item x="201"/>
        <item x="498"/>
        <item x="499"/>
        <item m="1" x="663"/>
        <item m="1" x="772"/>
        <item x="117"/>
        <item x="85"/>
        <item x="143"/>
        <item x="412"/>
        <item m="1" x="702"/>
        <item m="1" x="622"/>
        <item x="534"/>
        <item m="1" x="704"/>
        <item x="202"/>
        <item x="51"/>
        <item x="203"/>
        <item m="1" x="843"/>
        <item m="1" x="684"/>
        <item x="118"/>
        <item m="1" x="879"/>
        <item m="1" x="863"/>
        <item x="413"/>
        <item x="414"/>
        <item x="204"/>
        <item x="306"/>
        <item x="205"/>
        <item x="415"/>
        <item m="1" x="1273"/>
        <item m="1" x="1260"/>
        <item x="34"/>
        <item m="1" x="1033"/>
        <item m="1" x="1131"/>
        <item x="340"/>
        <item x="560"/>
        <item m="1" x="827"/>
        <item m="1" x="1029"/>
        <item m="1" x="798"/>
        <item m="1" x="1166"/>
        <item x="144"/>
        <item x="307"/>
        <item x="86"/>
        <item x="5"/>
        <item m="1" x="1216"/>
        <item m="1" x="1000"/>
        <item x="145"/>
        <item m="1" x="787"/>
        <item m="1" x="817"/>
        <item x="308"/>
        <item x="535"/>
        <item m="1" x="1059"/>
        <item x="341"/>
        <item m="1" x="965"/>
        <item x="146"/>
        <item m="1" x="632"/>
        <item x="206"/>
        <item m="1" x="783"/>
        <item m="1" x="1142"/>
        <item m="1" x="1038"/>
        <item x="500"/>
        <item x="416"/>
        <item x="147"/>
        <item m="1" x="1146"/>
        <item m="1" x="1128"/>
        <item x="501"/>
        <item x="148"/>
        <item m="1" x="848"/>
        <item m="1" x="701"/>
        <item m="1" x="784"/>
        <item x="342"/>
        <item x="309"/>
        <item m="1" x="814"/>
        <item x="87"/>
        <item m="1" x="619"/>
        <item m="1" x="1202"/>
        <item x="310"/>
        <item m="1" x="709"/>
        <item x="207"/>
        <item m="1" x="826"/>
        <item x="149"/>
        <item x="62"/>
        <item m="1" x="1269"/>
        <item m="1" x="1153"/>
        <item m="1" x="640"/>
        <item x="417"/>
        <item m="1" x="1229"/>
        <item m="1" x="829"/>
        <item m="1" x="683"/>
        <item m="1" x="696"/>
        <item m="1" x="936"/>
        <item x="6"/>
        <item m="1" x="710"/>
        <item x="418"/>
        <item m="1" x="900"/>
        <item x="291"/>
        <item x="419"/>
        <item m="1" x="1194"/>
        <item m="1" x="1180"/>
        <item m="1" x="779"/>
        <item m="1" x="853"/>
        <item m="1" x="920"/>
        <item x="311"/>
        <item m="1" x="1082"/>
        <item m="1" x="1168"/>
        <item m="1" x="820"/>
        <item x="274"/>
        <item x="63"/>
        <item x="208"/>
        <item m="1" x="1236"/>
        <item m="1" x="1003"/>
        <item x="343"/>
        <item m="1" x="739"/>
        <item m="1" x="1226"/>
        <item m="1" x="1174"/>
        <item x="119"/>
        <item m="1" x="579"/>
        <item m="1" x="1046"/>
        <item m="1" x="780"/>
        <item x="275"/>
        <item m="1" x="625"/>
        <item m="1" x="708"/>
        <item m="1" x="768"/>
        <item m="1" x="1060"/>
        <item x="420"/>
        <item m="1" x="742"/>
        <item m="1" x="1043"/>
        <item x="209"/>
        <item x="383"/>
        <item x="35"/>
        <item x="276"/>
        <item m="1" x="1088"/>
        <item m="1" x="1136"/>
        <item x="52"/>
        <item m="1" x="854"/>
        <item x="536"/>
        <item x="88"/>
        <item x="421"/>
        <item m="1" x="759"/>
        <item x="64"/>
        <item x="150"/>
        <item m="1" x="903"/>
        <item x="344"/>
        <item x="210"/>
        <item m="1" x="687"/>
        <item m="1" x="1241"/>
        <item x="502"/>
        <item x="422"/>
        <item m="1" x="589"/>
        <item m="1" x="1005"/>
        <item m="1" x="677"/>
        <item x="312"/>
        <item x="89"/>
        <item x="151"/>
        <item x="7"/>
        <item x="503"/>
        <item x="211"/>
        <item m="1" x="718"/>
        <item x="53"/>
        <item x="504"/>
        <item x="313"/>
        <item x="345"/>
        <item x="537"/>
        <item m="1" x="626"/>
        <item x="295"/>
        <item m="1" x="1040"/>
        <item x="212"/>
        <item m="1" x="1176"/>
        <item m="1" x="664"/>
        <item m="1" x="1037"/>
        <item m="1" x="966"/>
        <item m="1" x="593"/>
        <item m="1" x="707"/>
        <item x="120"/>
        <item m="1" x="858"/>
        <item m="1" x="976"/>
        <item m="1" x="984"/>
        <item m="1" x="717"/>
        <item x="36"/>
        <item m="1" x="1099"/>
        <item m="1" x="635"/>
        <item x="152"/>
        <item m="1" x="618"/>
        <item m="1" x="1018"/>
        <item x="538"/>
        <item x="346"/>
        <item m="1" x="741"/>
        <item m="1" x="1135"/>
        <item x="8"/>
        <item m="1" x="799"/>
        <item x="423"/>
        <item m="1" x="928"/>
        <item x="347"/>
        <item m="1" x="1081"/>
        <item m="1" x="888"/>
        <item x="153"/>
        <item x="561"/>
        <item x="65"/>
        <item x="213"/>
        <item m="1" x="1092"/>
        <item m="1" x="1215"/>
        <item x="9"/>
        <item m="1" x="729"/>
        <item x="539"/>
        <item m="1" x="1106"/>
        <item m="1" x="1071"/>
        <item m="1" x="598"/>
        <item x="562"/>
        <item m="1" x="1231"/>
        <item x="296"/>
        <item x="214"/>
        <item x="424"/>
        <item x="154"/>
        <item x="104"/>
        <item x="297"/>
        <item x="37"/>
        <item x="540"/>
        <item m="1" x="790"/>
        <item x="541"/>
        <item m="1" x="1129"/>
        <item m="1" x="682"/>
        <item m="1" x="657"/>
        <item x="425"/>
        <item x="348"/>
        <item m="1" x="1079"/>
        <item x="349"/>
        <item x="426"/>
        <item m="1" x="882"/>
        <item m="1" x="990"/>
        <item x="10"/>
        <item m="1" x="892"/>
        <item x="215"/>
        <item m="1" x="1218"/>
        <item m="1" x="1067"/>
        <item m="1" x="660"/>
        <item m="1" x="1266"/>
        <item m="1" x="1024"/>
        <item x="90"/>
        <item m="1" x="1009"/>
        <item x="216"/>
        <item x="427"/>
        <item m="1" x="608"/>
        <item x="298"/>
        <item m="1" x="937"/>
        <item m="1" x="1233"/>
        <item m="1" x="996"/>
        <item m="1" x="620"/>
        <item x="155"/>
        <item x="156"/>
        <item m="1" x="1006"/>
        <item m="1" x="642"/>
        <item x="505"/>
        <item x="428"/>
        <item x="217"/>
        <item x="350"/>
        <item x="429"/>
        <item x="542"/>
        <item m="1" x="959"/>
        <item m="1" x="1165"/>
        <item m="1" x="1242"/>
        <item m="1" x="1205"/>
        <item x="506"/>
        <item m="1" x="1032"/>
        <item x="430"/>
        <item m="1" x="791"/>
        <item m="1" x="1203"/>
        <item m="1" x="912"/>
        <item m="1" x="904"/>
        <item m="1" x="584"/>
        <item x="431"/>
        <item m="1" x="1171"/>
        <item x="432"/>
        <item m="1" x="1075"/>
        <item m="1" x="1007"/>
        <item m="1" x="1069"/>
        <item m="1" x="1172"/>
        <item m="1" x="1126"/>
        <item m="1" x="1263"/>
        <item x="433"/>
        <item x="563"/>
        <item m="1" x="716"/>
        <item x="434"/>
        <item m="1" x="1048"/>
        <item x="218"/>
        <item x="435"/>
        <item m="1" x="1251"/>
        <item m="1" x="1107"/>
        <item x="38"/>
        <item x="351"/>
        <item x="507"/>
        <item x="436"/>
        <item m="1" x="1225"/>
        <item m="1" x="1016"/>
        <item m="1" x="602"/>
        <item m="1" x="1098"/>
        <item x="508"/>
        <item x="437"/>
        <item m="1" x="1076"/>
        <item x="219"/>
        <item x="438"/>
        <item x="91"/>
        <item m="1" x="713"/>
        <item m="1" x="581"/>
        <item m="1" x="592"/>
        <item m="1" x="1270"/>
        <item m="1" x="1274"/>
        <item m="1" x="607"/>
        <item m="1" x="595"/>
        <item m="1" x="986"/>
        <item x="220"/>
        <item m="1" x="1112"/>
        <item x="352"/>
        <item x="353"/>
        <item m="1" x="1152"/>
        <item m="1" x="837"/>
        <item x="157"/>
        <item m="1" x="1121"/>
        <item m="1" x="603"/>
        <item x="221"/>
        <item m="1" x="898"/>
        <item m="1" x="755"/>
        <item x="384"/>
        <item x="66"/>
        <item x="121"/>
        <item x="158"/>
        <item x="564"/>
        <item m="1" x="846"/>
        <item m="1" x="808"/>
        <item x="565"/>
        <item x="439"/>
        <item m="1" x="1230"/>
        <item x="222"/>
        <item m="1" x="1259"/>
        <item x="314"/>
        <item m="1" x="730"/>
        <item m="1" x="981"/>
        <item m="1" x="938"/>
        <item x="440"/>
        <item m="1" x="781"/>
        <item x="441"/>
        <item x="39"/>
        <item x="122"/>
        <item m="1" x="861"/>
        <item m="1" x="698"/>
        <item x="123"/>
        <item m="1" x="1169"/>
        <item x="223"/>
        <item m="1" x="1085"/>
        <item m="1" x="1162"/>
        <item m="1" x="655"/>
        <item x="442"/>
        <item m="1" x="749"/>
        <item m="1" x="633"/>
        <item x="105"/>
        <item x="543"/>
        <item m="1" x="1170"/>
        <item m="1" x="875"/>
        <item x="159"/>
        <item x="160"/>
        <item m="1" x="1023"/>
        <item x="124"/>
        <item x="444"/>
        <item x="443"/>
        <item m="1" x="1264"/>
        <item m="1" x="1204"/>
        <item m="1" x="727"/>
        <item m="1" x="764"/>
        <item x="445"/>
        <item m="1" x="667"/>
        <item m="1" x="941"/>
        <item m="1" x="871"/>
        <item x="224"/>
        <item m="1" x="917"/>
        <item m="1" x="1141"/>
        <item m="1" x="750"/>
        <item m="1" x="1111"/>
        <item m="1" x="1163"/>
        <item x="509"/>
        <item m="1" x="1012"/>
        <item x="225"/>
        <item m="1" x="810"/>
        <item m="1" x="949"/>
        <item m="1" x="958"/>
        <item x="299"/>
        <item x="226"/>
        <item x="227"/>
        <item m="1" x="1026"/>
        <item m="1" x="1070"/>
        <item m="1" x="786"/>
        <item x="277"/>
        <item m="1" x="1145"/>
        <item m="1" x="1124"/>
        <item m="1" x="623"/>
        <item m="1" x="962"/>
        <item m="1" x="594"/>
        <item m="1" x="913"/>
        <item x="510"/>
        <item m="1" x="1192"/>
        <item x="446"/>
        <item m="1" x="1093"/>
        <item m="1" x="673"/>
        <item x="228"/>
        <item x="11"/>
        <item m="1" x="968"/>
        <item x="354"/>
        <item m="1" x="1181"/>
        <item x="40"/>
        <item m="1" x="1186"/>
        <item x="447"/>
        <item m="1" x="575"/>
        <item x="125"/>
        <item x="67"/>
        <item m="1" x="761"/>
        <item x="544"/>
        <item m="1" x="1077"/>
        <item m="1" x="907"/>
        <item x="161"/>
        <item x="315"/>
        <item m="1" x="877"/>
        <item x="316"/>
        <item m="1" x="1157"/>
        <item x="92"/>
        <item m="1" x="895"/>
        <item m="1" x="802"/>
        <item x="355"/>
        <item m="1" x="1042"/>
        <item m="1" x="1080"/>
        <item m="1" x="946"/>
        <item x="448"/>
        <item m="1" x="672"/>
        <item m="1" x="574"/>
        <item m="1" x="1132"/>
        <item m="1" x="839"/>
        <item m="1" x="1052"/>
        <item x="385"/>
        <item x="68"/>
        <item m="1" x="1125"/>
        <item m="1" x="648"/>
        <item x="162"/>
        <item m="1" x="1211"/>
        <item m="1" x="703"/>
        <item m="1" x="838"/>
        <item m="1" x="778"/>
        <item m="1" x="970"/>
        <item m="1" x="884"/>
        <item m="1" x="785"/>
        <item m="1" x="578"/>
        <item m="1" x="796"/>
        <item x="356"/>
        <item m="1" x="1228"/>
        <item x="69"/>
        <item m="1" x="691"/>
        <item m="1" x="1090"/>
        <item x="449"/>
        <item x="357"/>
        <item m="1" x="792"/>
        <item x="511"/>
        <item m="1" x="686"/>
        <item x="300"/>
        <item x="450"/>
        <item x="566"/>
        <item x="358"/>
        <item x="70"/>
        <item m="1" x="1001"/>
        <item x="451"/>
        <item m="1" x="1115"/>
        <item m="1" x="723"/>
        <item x="41"/>
        <item x="93"/>
        <item m="1" x="789"/>
        <item m="1" x="614"/>
        <item x="163"/>
        <item x="359"/>
        <item m="1" x="997"/>
        <item x="452"/>
        <item x="126"/>
        <item m="1" x="866"/>
        <item x="229"/>
        <item m="1" x="1195"/>
        <item m="1" x="743"/>
        <item m="1" x="766"/>
        <item x="230"/>
        <item x="292"/>
        <item m="1" x="860"/>
        <item m="1" x="678"/>
        <item x="360"/>
        <item m="1" x="1030"/>
        <item x="278"/>
        <item m="1" x="973"/>
        <item m="1" x="1083"/>
        <item m="1" x="897"/>
        <item m="1" x="1178"/>
        <item x="42"/>
        <item m="1" x="610"/>
        <item m="1" x="955"/>
        <item m="1" x="1086"/>
        <item m="1" x="925"/>
        <item x="545"/>
        <item x="453"/>
        <item x="454"/>
        <item x="455"/>
        <item m="1" x="1144"/>
        <item m="1" x="628"/>
        <item m="1" x="671"/>
        <item x="94"/>
        <item m="1" x="1051"/>
        <item m="1" x="1237"/>
        <item x="12"/>
        <item x="546"/>
        <item m="1" x="775"/>
        <item x="456"/>
        <item m="1" x="1148"/>
        <item x="106"/>
        <item m="1" x="758"/>
        <item x="279"/>
        <item x="301"/>
        <item x="361"/>
        <item m="1" x="714"/>
        <item m="1" x="1101"/>
        <item m="1" x="974"/>
        <item x="457"/>
        <item m="1" x="627"/>
        <item x="164"/>
        <item m="1" x="629"/>
        <item x="458"/>
        <item x="231"/>
        <item x="232"/>
        <item x="13"/>
        <item m="1" x="1011"/>
        <item x="459"/>
        <item m="1" x="821"/>
        <item m="1" x="1123"/>
        <item x="280"/>
        <item m="1" x="908"/>
        <item m="1" x="1113"/>
        <item x="233"/>
        <item m="1" x="985"/>
        <item x="165"/>
        <item x="95"/>
        <item x="166"/>
        <item m="1" x="1199"/>
        <item m="1" x="1232"/>
        <item m="1" x="661"/>
        <item x="362"/>
        <item x="14"/>
        <item m="1" x="762"/>
        <item m="1" x="637"/>
        <item m="1" x="1275"/>
        <item x="460"/>
        <item m="1" x="806"/>
        <item x="512"/>
        <item x="386"/>
        <item m="1" x="921"/>
        <item x="107"/>
        <item x="234"/>
        <item m="1" x="711"/>
        <item m="1" x="1050"/>
        <item m="1" x="1095"/>
        <item m="1" x="816"/>
        <item x="363"/>
        <item x="235"/>
        <item m="1" x="638"/>
        <item x="387"/>
        <item m="1" x="1054"/>
        <item m="1" x="1014"/>
        <item m="1" x="1096"/>
        <item m="1" x="617"/>
        <item x="364"/>
        <item x="43"/>
        <item x="461"/>
        <item x="293"/>
        <item x="236"/>
        <item x="15"/>
        <item m="1" x="909"/>
        <item x="237"/>
        <item x="513"/>
        <item m="1" x="765"/>
        <item m="1" x="771"/>
        <item x="388"/>
        <item m="1" x="639"/>
        <item x="365"/>
        <item m="1" x="1209"/>
        <item x="462"/>
        <item m="1" x="577"/>
        <item x="54"/>
        <item x="55"/>
        <item x="317"/>
        <item x="463"/>
        <item m="1" x="630"/>
        <item m="1" x="844"/>
        <item x="167"/>
        <item m="1" x="693"/>
        <item m="1" x="654"/>
        <item m="1" x="922"/>
        <item x="238"/>
        <item m="1" x="1022"/>
        <item m="1" x="692"/>
        <item x="514"/>
        <item m="1" x="1256"/>
        <item x="515"/>
        <item x="127"/>
        <item m="1" x="1156"/>
        <item m="1" x="1262"/>
        <item m="1" x="740"/>
        <item m="1" x="733"/>
        <item m="1" x="841"/>
        <item x="96"/>
        <item m="1" x="1103"/>
        <item x="168"/>
        <item x="169"/>
        <item m="1" x="1061"/>
        <item x="71"/>
        <item x="108"/>
        <item x="281"/>
        <item m="1" x="1189"/>
        <item m="1" x="1183"/>
        <item x="239"/>
        <item x="240"/>
        <item m="1" x="822"/>
        <item x="241"/>
        <item m="1" x="605"/>
        <item x="318"/>
        <item m="1" x="1062"/>
        <item m="1" x="724"/>
        <item x="16"/>
        <item x="319"/>
        <item m="1" x="834"/>
        <item m="1" x="1031"/>
        <item m="1" x="1004"/>
        <item m="1" x="916"/>
        <item m="1" x="621"/>
        <item x="464"/>
        <item m="1" x="649"/>
        <item x="282"/>
        <item m="1" x="924"/>
        <item m="1" x="868"/>
        <item m="1" x="656"/>
        <item m="1" x="804"/>
        <item x="242"/>
        <item m="1" x="1008"/>
        <item x="56"/>
        <item x="465"/>
        <item x="466"/>
        <item m="1" x="1159"/>
        <item m="1" x="1185"/>
        <item m="1" x="1253"/>
        <item m="1" x="720"/>
        <item m="1" x="1140"/>
        <item x="243"/>
        <item m="1" x="767"/>
        <item m="1" x="689"/>
        <item m="1" x="751"/>
        <item x="467"/>
        <item m="1" x="1210"/>
        <item x="244"/>
        <item m="1" x="1019"/>
        <item m="1" x="873"/>
        <item x="17"/>
        <item x="567"/>
        <item m="1" x="1137"/>
        <item m="1" x="697"/>
        <item x="516"/>
        <item x="97"/>
        <item m="1" x="1097"/>
        <item x="547"/>
        <item m="1" x="993"/>
        <item m="1" x="600"/>
        <item x="302"/>
        <item x="517"/>
        <item m="1" x="738"/>
        <item x="468"/>
        <item m="1" x="675"/>
        <item x="44"/>
        <item x="469"/>
        <item m="1" x="1255"/>
        <item m="1" x="819"/>
        <item m="1" x="1161"/>
        <item m="1" x="872"/>
        <item m="1" x="1244"/>
        <item m="1" x="944"/>
        <item m="1" x="601"/>
        <item x="470"/>
        <item x="245"/>
        <item x="98"/>
        <item m="1" x="891"/>
        <item x="170"/>
        <item m="1" x="1034"/>
        <item m="1" x="1056"/>
        <item m="1" x="756"/>
        <item x="246"/>
        <item x="171"/>
        <item m="1" x="935"/>
        <item m="1" x="1044"/>
        <item x="548"/>
        <item m="1" x="615"/>
        <item m="1" x="1190"/>
        <item m="1" x="616"/>
        <item x="72"/>
        <item m="1" x="1055"/>
        <item m="1" x="870"/>
        <item m="1" x="932"/>
        <item x="109"/>
        <item m="1" x="1208"/>
        <item m="1" x="927"/>
        <item x="99"/>
        <item m="1" x="883"/>
        <item x="471"/>
        <item x="549"/>
        <item m="1" x="957"/>
        <item m="1" x="994"/>
        <item m="1" x="1127"/>
        <item m="1" x="700"/>
        <item m="1" x="1100"/>
        <item m="1" x="590"/>
        <item m="1" x="1164"/>
        <item m="1" x="943"/>
        <item m="1" x="980"/>
        <item x="366"/>
        <item m="1" x="849"/>
        <item m="1" x="971"/>
        <item x="100"/>
        <item m="1" x="1133"/>
        <item m="1" x="645"/>
        <item m="1" x="1179"/>
        <item m="1" x="1094"/>
        <item x="128"/>
        <item m="1" x="773"/>
        <item x="367"/>
        <item m="1" x="876"/>
        <item m="1" x="881"/>
        <item x="101"/>
        <item m="1" x="942"/>
        <item m="1" x="952"/>
        <item x="247"/>
        <item m="1" x="899"/>
        <item m="1" x="1198"/>
        <item m="1" x="760"/>
        <item m="1" x="953"/>
        <item x="389"/>
        <item x="248"/>
        <item m="1" x="1139"/>
        <item x="390"/>
        <item m="1" x="989"/>
        <item m="1" x="865"/>
        <item m="1" x="1084"/>
        <item m="1" x="836"/>
        <item x="172"/>
        <item m="1" x="919"/>
        <item x="283"/>
        <item x="45"/>
        <item x="173"/>
        <item x="518"/>
        <item x="18"/>
        <item m="1" x="732"/>
        <item x="294"/>
        <item m="1" x="1213"/>
        <item m="1" x="1175"/>
        <item m="1" x="1116"/>
        <item x="102"/>
        <item x="550"/>
        <item m="1" x="612"/>
        <item x="568"/>
        <item x="249"/>
        <item x="174"/>
        <item x="250"/>
        <item m="1" x="788"/>
        <item x="251"/>
        <item x="472"/>
        <item m="1" x="977"/>
        <item x="252"/>
        <item m="1" x="793"/>
        <item x="391"/>
        <item m="1" x="757"/>
        <item m="1" x="813"/>
        <item x="129"/>
        <item m="1" x="1021"/>
        <item m="1" x="583"/>
        <item x="253"/>
        <item m="1" x="1254"/>
        <item m="1" x="1149"/>
        <item x="254"/>
        <item x="303"/>
        <item x="368"/>
        <item m="1" x="911"/>
        <item m="1" x="1108"/>
        <item x="551"/>
        <item m="1" x="1187"/>
        <item m="1" x="998"/>
        <item m="1" x="1201"/>
        <item m="1" x="669"/>
        <item x="46"/>
        <item x="519"/>
        <item m="1" x="823"/>
        <item x="369"/>
        <item m="1" x="930"/>
        <item m="1" x="1150"/>
        <item x="552"/>
        <item x="370"/>
        <item m="1" x="923"/>
        <item x="255"/>
        <item m="1" x="1223"/>
        <item m="1" x="887"/>
        <item m="1" x="631"/>
        <item m="1" x="653"/>
        <item m="1" x="1206"/>
        <item x="381"/>
        <item m="1" x="1197"/>
        <item m="1" x="859"/>
        <item x="473"/>
        <item m="1" x="699"/>
        <item m="1" x="947"/>
        <item x="284"/>
        <item x="520"/>
        <item x="521"/>
        <item x="474"/>
        <item m="1" x="992"/>
        <item x="285"/>
        <item m="1" x="1154"/>
        <item m="1" x="929"/>
        <item m="1" x="1188"/>
        <item m="1" x="705"/>
        <item x="175"/>
        <item m="1" x="665"/>
        <item x="320"/>
        <item m="1" x="679"/>
        <item x="321"/>
        <item m="1" x="668"/>
        <item m="1" x="650"/>
        <item x="475"/>
        <item x="476"/>
        <item x="477"/>
        <item x="57"/>
        <item x="19"/>
        <item m="1" x="825"/>
        <item m="1" x="1249"/>
        <item m="1" x="880"/>
        <item m="1" x="1027"/>
        <item m="1" x="719"/>
        <item m="1" x="588"/>
        <item m="1" x="1130"/>
        <item m="1" x="1212"/>
        <item m="1" x="634"/>
        <item m="1" x="842"/>
        <item m="1" x="1214"/>
        <item m="1" x="1219"/>
        <item x="322"/>
        <item m="1" x="763"/>
        <item m="1" x="889"/>
        <item x="176"/>
        <item x="47"/>
        <item x="256"/>
        <item m="1" x="1248"/>
        <item x="522"/>
        <item x="478"/>
        <item x="371"/>
        <item x="569"/>
        <item x="178"/>
        <item x="179"/>
        <item m="1" x="722"/>
        <item x="323"/>
        <item x="180"/>
        <item x="110"/>
        <item m="1" x="840"/>
        <item x="479"/>
        <item m="1" x="1158"/>
        <item x="177"/>
        <item m="1" x="972"/>
        <item x="20"/>
        <item x="286"/>
        <item m="1" x="680"/>
        <item x="21"/>
        <item x="480"/>
        <item m="1" x="982"/>
        <item m="1" x="647"/>
        <item m="1" x="963"/>
        <item m="1" x="576"/>
        <item m="1" x="1246"/>
        <item x="481"/>
        <item x="372"/>
        <item x="257"/>
        <item x="103"/>
        <item x="570"/>
        <item x="373"/>
        <item x="258"/>
        <item m="1" x="685"/>
        <item m="1" x="914"/>
        <item m="1" x="674"/>
        <item x="22"/>
        <item m="1" x="1041"/>
        <item m="1" x="754"/>
        <item x="482"/>
        <item m="1" x="830"/>
        <item x="111"/>
        <item x="23"/>
        <item m="1" x="835"/>
        <item m="1" x="646"/>
        <item m="1" x="666"/>
        <item x="130"/>
        <item m="1" x="1047"/>
        <item m="1" x="706"/>
        <item m="1" x="934"/>
        <item m="1" x="695"/>
        <item x="259"/>
        <item m="1" x="1065"/>
        <item x="73"/>
        <item m="1" x="890"/>
        <item x="523"/>
        <item m="1" x="1063"/>
        <item m="1" x="1155"/>
        <item m="1" x="1119"/>
        <item x="374"/>
        <item x="260"/>
        <item x="131"/>
        <item x="483"/>
        <item m="1" x="805"/>
        <item m="1" x="811"/>
        <item m="1" x="1234"/>
        <item x="524"/>
        <item m="1" x="857"/>
        <item x="324"/>
        <item m="1" x="1134"/>
        <item x="325"/>
        <item m="1" x="1053"/>
        <item x="571"/>
        <item m="1" x="1105"/>
        <item x="261"/>
        <item m="1" x="753"/>
        <item x="553"/>
        <item x="24"/>
        <item m="1" x="1151"/>
        <item x="262"/>
        <item x="25"/>
        <item m="1" x="847"/>
        <item m="1" x="795"/>
        <item m="1" x="824"/>
        <item m="1" x="960"/>
        <item x="112"/>
        <item m="1" x="609"/>
        <item x="525"/>
        <item m="1" x="851"/>
        <item m="1" x="1160"/>
        <item x="263"/>
        <item x="326"/>
        <item x="48"/>
        <item m="1" x="951"/>
        <item m="1" x="1020"/>
        <item x="26"/>
        <item x="375"/>
        <item x="49"/>
        <item m="1" x="815"/>
        <item m="1" x="948"/>
        <item x="27"/>
        <item m="1" x="983"/>
        <item m="1" x="580"/>
        <item x="287"/>
        <item x="382"/>
        <item m="1" x="1110"/>
        <item m="1" x="885"/>
        <item m="1" x="636"/>
        <item m="1" x="1104"/>
        <item x="288"/>
        <item m="1" x="662"/>
        <item m="1" x="659"/>
        <item m="1" x="585"/>
        <item m="1" x="1122"/>
        <item m="1" x="950"/>
        <item x="526"/>
        <item x="484"/>
        <item m="1" x="770"/>
        <item x="264"/>
        <item m="1" x="845"/>
        <item x="58"/>
        <item x="485"/>
        <item m="1" x="1028"/>
        <item x="376"/>
        <item m="1" x="901"/>
        <item x="377"/>
        <item m="1" x="715"/>
        <item m="1" x="954"/>
        <item m="1" x="1252"/>
        <item m="1" x="1173"/>
        <item x="113"/>
        <item m="1" x="1068"/>
        <item m="1" x="797"/>
        <item m="1" x="886"/>
        <item x="378"/>
        <item m="1" x="939"/>
        <item m="1" x="987"/>
        <item m="1" x="1057"/>
        <item m="1" x="855"/>
        <item m="1" x="961"/>
        <item m="1" x="978"/>
        <item m="1" x="1120"/>
        <item m="1" x="681"/>
        <item x="486"/>
        <item m="1" x="1072"/>
        <item x="487"/>
        <item x="59"/>
        <item x="265"/>
        <item m="1" x="1227"/>
        <item x="488"/>
        <item x="266"/>
        <item x="527"/>
        <item x="267"/>
        <item m="1" x="644"/>
        <item x="268"/>
        <item x="28"/>
        <item x="181"/>
        <item x="489"/>
        <item m="1" x="869"/>
      </items>
    </pivotField>
    <pivotField axis="axisRow" compact="0" outline="0" showAll="0" defaultSubtotal="0">
      <items count="694">
        <item m="1" x="609"/>
        <item x="348"/>
        <item m="1" x="551"/>
        <item x="78"/>
        <item x="73"/>
        <item x="48"/>
        <item x="79"/>
        <item x="55"/>
        <item m="1" x="555"/>
        <item x="158"/>
        <item x="38"/>
        <item m="1" x="486"/>
        <item m="1" x="493"/>
        <item m="1" x="663"/>
        <item x="343"/>
        <item x="298"/>
        <item x="177"/>
        <item x="85"/>
        <item x="76"/>
        <item m="1" x="422"/>
        <item x="58"/>
        <item m="1" x="432"/>
        <item x="130"/>
        <item m="1" x="527"/>
        <item m="1" x="503"/>
        <item x="28"/>
        <item x="29"/>
        <item m="1" x="652"/>
        <item m="1" x="487"/>
        <item x="26"/>
        <item x="207"/>
        <item m="1" x="668"/>
        <item m="1" x="550"/>
        <item m="1" x="421"/>
        <item m="1" x="670"/>
        <item x="81"/>
        <item x="30"/>
        <item m="1" x="420"/>
        <item x="50"/>
        <item x="367"/>
        <item x="3"/>
        <item x="250"/>
        <item m="1" x="608"/>
        <item m="1" x="660"/>
        <item x="53"/>
        <item m="1" x="498"/>
        <item x="110"/>
        <item m="1" x="458"/>
        <item x="44"/>
        <item x="234"/>
        <item x="2"/>
        <item x="146"/>
        <item x="311"/>
        <item m="1" x="576"/>
        <item x="175"/>
        <item m="1" x="641"/>
        <item x="249"/>
        <item x="32"/>
        <item x="70"/>
        <item m="1" x="621"/>
        <item x="21"/>
        <item m="1" x="571"/>
        <item x="223"/>
        <item m="1" x="639"/>
        <item x="365"/>
        <item m="1" x="528"/>
        <item x="59"/>
        <item m="1" x="474"/>
        <item x="57"/>
        <item m="1" x="638"/>
        <item x="9"/>
        <item x="402"/>
        <item x="7"/>
        <item x="344"/>
        <item x="40"/>
        <item x="60"/>
        <item m="1" x="481"/>
        <item m="1" x="657"/>
        <item x="247"/>
        <item m="1" x="512"/>
        <item m="1" x="476"/>
        <item x="39"/>
        <item x="115"/>
        <item m="1" x="614"/>
        <item m="1" x="456"/>
        <item x="322"/>
        <item x="196"/>
        <item x="145"/>
        <item x="217"/>
        <item x="283"/>
        <item m="1" x="587"/>
        <item x="101"/>
        <item x="136"/>
        <item m="1" x="507"/>
        <item x="6"/>
        <item x="41"/>
        <item m="1" x="629"/>
        <item x="91"/>
        <item m="1" x="659"/>
        <item m="1" x="654"/>
        <item x="64"/>
        <item m="1" x="547"/>
        <item x="19"/>
        <item x="170"/>
        <item x="318"/>
        <item m="1" x="423"/>
        <item x="273"/>
        <item x="113"/>
        <item x="213"/>
        <item x="111"/>
        <item x="184"/>
        <item x="82"/>
        <item x="52"/>
        <item x="139"/>
        <item m="1" x="414"/>
        <item x="8"/>
        <item x="214"/>
        <item x="119"/>
        <item x="243"/>
        <item x="279"/>
        <item x="264"/>
        <item x="263"/>
        <item x="149"/>
        <item x="173"/>
        <item m="1" x="463"/>
        <item x="281"/>
        <item m="1" x="643"/>
        <item x="51"/>
        <item x="56"/>
        <item m="1" x="615"/>
        <item x="291"/>
        <item m="1" x="506"/>
        <item x="338"/>
        <item x="152"/>
        <item x="68"/>
        <item x="342"/>
        <item x="151"/>
        <item x="203"/>
        <item x="262"/>
        <item x="116"/>
        <item m="1" x="537"/>
        <item m="1" x="536"/>
        <item m="1" x="552"/>
        <item x="114"/>
        <item m="1" x="579"/>
        <item m="1" x="443"/>
        <item m="1" x="467"/>
        <item m="1" x="516"/>
        <item x="11"/>
        <item x="193"/>
        <item x="80"/>
        <item x="157"/>
        <item x="174"/>
        <item x="361"/>
        <item x="36"/>
        <item x="18"/>
        <item m="1" x="662"/>
        <item x="77"/>
        <item x="24"/>
        <item x="42"/>
        <item x="319"/>
        <item x="17"/>
        <item x="14"/>
        <item x="97"/>
        <item m="1" x="667"/>
        <item x="374"/>
        <item x="22"/>
        <item x="112"/>
        <item x="238"/>
        <item m="1" x="556"/>
        <item m="1" x="647"/>
        <item x="240"/>
        <item m="1" x="656"/>
        <item m="1" x="594"/>
        <item x="33"/>
        <item x="287"/>
        <item m="1" x="526"/>
        <item x="288"/>
        <item m="1" x="505"/>
        <item x="128"/>
        <item x="61"/>
        <item x="37"/>
        <item m="1" x="604"/>
        <item x="1"/>
        <item x="295"/>
        <item x="172"/>
        <item x="147"/>
        <item m="1" x="601"/>
        <item m="1" x="632"/>
        <item m="1" x="554"/>
        <item x="226"/>
        <item x="104"/>
        <item m="1" x="535"/>
        <item m="1" x="525"/>
        <item x="355"/>
        <item x="286"/>
        <item m="1" x="676"/>
        <item x="242"/>
        <item m="1" x="675"/>
        <item x="309"/>
        <item x="140"/>
        <item m="1" x="693"/>
        <item x="181"/>
        <item x="90"/>
        <item x="84"/>
        <item m="1" x="674"/>
        <item m="1" x="563"/>
        <item x="359"/>
        <item x="25"/>
        <item m="1" x="649"/>
        <item x="23"/>
        <item x="137"/>
        <item m="1" x="605"/>
        <item m="1" x="650"/>
        <item m="1" x="567"/>
        <item m="1" x="430"/>
        <item x="190"/>
        <item m="1" x="628"/>
        <item x="54"/>
        <item x="94"/>
        <item m="1" x="413"/>
        <item x="244"/>
        <item m="1" x="426"/>
        <item x="277"/>
        <item x="88"/>
        <item m="1" x="684"/>
        <item m="1" x="689"/>
        <item m="1" x="490"/>
        <item m="1" x="473"/>
        <item m="1" x="635"/>
        <item m="1" x="630"/>
        <item m="1" x="570"/>
        <item m="1" x="489"/>
        <item m="1" x="425"/>
        <item x="102"/>
        <item m="1" x="611"/>
        <item m="1" x="626"/>
        <item x="222"/>
        <item m="1" x="682"/>
        <item m="1" x="665"/>
        <item x="323"/>
        <item m="1" x="583"/>
        <item m="1" x="470"/>
        <item x="202"/>
        <item m="1" x="624"/>
        <item m="1" x="586"/>
        <item m="1" x="619"/>
        <item m="1" x="546"/>
        <item x="248"/>
        <item x="266"/>
        <item m="1" x="442"/>
        <item m="1" x="513"/>
        <item m="1" x="548"/>
        <item m="1" x="428"/>
        <item m="1" x="581"/>
        <item x="299"/>
        <item m="1" x="640"/>
        <item m="1" x="622"/>
        <item m="1" x="584"/>
        <item x="315"/>
        <item x="271"/>
        <item m="1" x="478"/>
        <item m="1" x="544"/>
        <item x="386"/>
        <item x="47"/>
        <item m="1" x="580"/>
        <item m="1" x="598"/>
        <item x="340"/>
        <item m="1" x="589"/>
        <item m="1" x="418"/>
        <item m="1" x="618"/>
        <item x="194"/>
        <item m="1" x="591"/>
        <item m="1" x="492"/>
        <item m="1" x="625"/>
        <item x="292"/>
        <item x="294"/>
        <item x="62"/>
        <item m="1" x="521"/>
        <item x="317"/>
        <item m="1" x="515"/>
        <item x="100"/>
        <item m="1" x="541"/>
        <item m="1" x="437"/>
        <item m="1" x="645"/>
        <item m="1" x="612"/>
        <item m="1" x="479"/>
        <item m="1" x="499"/>
        <item m="1" x="603"/>
        <item m="1" x="606"/>
        <item m="1" x="582"/>
        <item m="1" x="427"/>
        <item m="1" x="514"/>
        <item m="1" x="457"/>
        <item m="1" x="690"/>
        <item m="1" x="500"/>
        <item m="1" x="450"/>
        <item m="1" x="573"/>
        <item x="171"/>
        <item m="1" x="561"/>
        <item m="1" x="447"/>
        <item m="1" x="692"/>
        <item x="265"/>
        <item m="1" x="564"/>
        <item m="1" x="631"/>
        <item m="1" x="482"/>
        <item m="1" x="517"/>
        <item x="63"/>
        <item x="206"/>
        <item m="1" x="419"/>
        <item m="1" x="613"/>
        <item x="272"/>
        <item x="285"/>
        <item x="180"/>
        <item m="1" x="511"/>
        <item x="72"/>
        <item x="268"/>
        <item x="49"/>
        <item m="1" x="644"/>
        <item m="1" x="568"/>
        <item x="349"/>
        <item m="1" x="600"/>
        <item m="1" x="559"/>
        <item m="1" x="588"/>
        <item m="1" x="595"/>
        <item m="1" x="429"/>
        <item m="1" x="465"/>
        <item m="1" x="483"/>
        <item x="179"/>
        <item x="74"/>
        <item m="1" x="464"/>
        <item x="409"/>
        <item x="191"/>
        <item x="215"/>
        <item m="1" x="683"/>
        <item x="395"/>
        <item m="1" x="508"/>
        <item m="1" x="545"/>
        <item m="1" x="565"/>
        <item m="1" x="496"/>
        <item m="1" x="441"/>
        <item m="1" x="501"/>
        <item m="1" x="575"/>
        <item x="164"/>
        <item m="1" x="672"/>
        <item m="1" x="520"/>
        <item x="129"/>
        <item m="1" x="616"/>
        <item m="1" x="434"/>
        <item m="1" x="661"/>
        <item m="1" x="592"/>
        <item m="1" x="475"/>
        <item m="1" x="664"/>
        <item m="1" x="484"/>
        <item m="1" x="446"/>
        <item m="1" x="469"/>
        <item m="1" x="495"/>
        <item x="245"/>
        <item m="1" x="658"/>
        <item m="1" x="679"/>
        <item m="1" x="651"/>
        <item x="209"/>
        <item m="1" x="411"/>
        <item x="148"/>
        <item m="1" x="502"/>
        <item m="1" x="524"/>
        <item x="320"/>
        <item x="383"/>
        <item x="408"/>
        <item x="332"/>
        <item m="1" x="529"/>
        <item m="1" x="530"/>
        <item m="1" x="557"/>
        <item m="1" x="412"/>
        <item m="1" x="461"/>
        <item m="1" x="518"/>
        <item m="1" x="471"/>
        <item m="1" x="532"/>
        <item x="236"/>
        <item x="127"/>
        <item m="1" x="439"/>
        <item m="1" x="681"/>
        <item m="1" x="533"/>
        <item m="1" x="633"/>
        <item m="1" x="574"/>
        <item m="1" x="543"/>
        <item m="1" x="585"/>
        <item m="1" x="459"/>
        <item m="1" x="462"/>
        <item m="1" x="602"/>
        <item m="1" x="538"/>
        <item x="260"/>
        <item m="1" x="596"/>
        <item m="1" x="460"/>
        <item m="1" x="417"/>
        <item x="378"/>
        <item m="1" x="637"/>
        <item x="83"/>
        <item x="241"/>
        <item x="159"/>
        <item x="144"/>
        <item m="1" x="646"/>
        <item m="1" x="572"/>
        <item m="1" x="440"/>
        <item x="107"/>
        <item x="108"/>
        <item m="1" x="509"/>
        <item m="1" x="444"/>
        <item x="125"/>
        <item x="69"/>
        <item m="1" x="531"/>
        <item m="1" x="678"/>
        <item m="1" x="410"/>
        <item x="301"/>
        <item x="201"/>
        <item m="1" x="680"/>
        <item m="1" x="597"/>
        <item m="1" x="542"/>
        <item x="92"/>
        <item m="1" x="566"/>
        <item m="1" x="433"/>
        <item x="135"/>
        <item x="89"/>
        <item x="372"/>
        <item m="1" x="623"/>
        <item m="1" x="627"/>
        <item m="1" x="453"/>
        <item m="1" x="519"/>
        <item x="284"/>
        <item x="227"/>
        <item m="1" x="424"/>
        <item m="1" x="685"/>
        <item x="118"/>
        <item m="1" x="448"/>
        <item m="1" x="436"/>
        <item m="1" x="599"/>
        <item m="1" x="449"/>
        <item x="154"/>
        <item m="1" x="549"/>
        <item m="1" x="578"/>
        <item x="162"/>
        <item m="1" x="539"/>
        <item m="1" x="620"/>
        <item m="1" x="523"/>
        <item m="1" x="466"/>
        <item m="1" x="451"/>
        <item m="1" x="648"/>
        <item m="1" x="415"/>
        <item m="1" x="553"/>
        <item x="124"/>
        <item x="327"/>
        <item x="335"/>
        <item x="396"/>
        <item m="1" x="452"/>
        <item x="131"/>
        <item x="363"/>
        <item m="1" x="617"/>
        <item m="1" x="438"/>
        <item x="387"/>
        <item x="67"/>
        <item x="87"/>
        <item x="117"/>
        <item x="394"/>
        <item x="220"/>
        <item x="221"/>
        <item x="98"/>
        <item m="1" x="577"/>
        <item x="293"/>
        <item x="313"/>
        <item m="1" x="504"/>
        <item x="404"/>
        <item x="407"/>
        <item m="1" x="435"/>
        <item m="1" x="688"/>
        <item m="1" x="634"/>
        <item x="46"/>
        <item x="65"/>
        <item x="66"/>
        <item m="1" x="636"/>
        <item x="43"/>
        <item m="1" x="534"/>
        <item m="1" x="522"/>
        <item x="167"/>
        <item m="1" x="488"/>
        <item x="187"/>
        <item x="188"/>
        <item m="1" x="610"/>
        <item x="199"/>
        <item m="1" x="590"/>
        <item m="1" x="497"/>
        <item x="233"/>
        <item x="235"/>
        <item x="239"/>
        <item x="258"/>
        <item m="1" x="593"/>
        <item m="1" x="686"/>
        <item m="1" x="472"/>
        <item m="1" x="491"/>
        <item m="1" x="666"/>
        <item x="278"/>
        <item m="1" x="669"/>
        <item x="329"/>
        <item m="1" x="540"/>
        <item x="306"/>
        <item x="312"/>
        <item x="231"/>
        <item x="333"/>
        <item x="334"/>
        <item x="352"/>
        <item m="1" x="510"/>
        <item m="1" x="653"/>
        <item x="399"/>
        <item x="406"/>
        <item x="377"/>
        <item m="1" x="485"/>
        <item x="182"/>
        <item x="314"/>
        <item m="1" x="468"/>
        <item x="165"/>
        <item m="1" x="416"/>
        <item m="1" x="558"/>
        <item m="1" x="455"/>
        <item m="1" x="687"/>
        <item x="132"/>
        <item m="1" x="445"/>
        <item x="251"/>
        <item m="1" x="480"/>
        <item m="1" x="454"/>
        <item m="1" x="560"/>
        <item x="307"/>
        <item m="1" x="477"/>
        <item m="1" x="671"/>
        <item x="0"/>
        <item m="1" x="607"/>
        <item m="1" x="691"/>
        <item m="1" x="494"/>
        <item x="228"/>
        <item x="229"/>
        <item m="1" x="562"/>
        <item m="1" x="655"/>
        <item m="1" x="642"/>
        <item m="1" x="431"/>
        <item x="166"/>
        <item x="382"/>
        <item x="195"/>
        <item x="290"/>
        <item x="216"/>
        <item m="1" x="569"/>
        <item m="1" x="673"/>
        <item x="4"/>
        <item x="5"/>
        <item x="10"/>
        <item x="20"/>
        <item x="71"/>
        <item x="109"/>
        <item m="1" x="677"/>
        <item x="310"/>
        <item x="358"/>
        <item x="369"/>
        <item x="373"/>
        <item x="375"/>
        <item x="391"/>
        <item x="31"/>
        <item x="35"/>
        <item x="75"/>
        <item x="86"/>
        <item x="95"/>
        <item x="96"/>
        <item x="99"/>
        <item x="103"/>
        <item x="120"/>
        <item x="122"/>
        <item x="126"/>
        <item x="133"/>
        <item x="134"/>
        <item x="138"/>
        <item x="141"/>
        <item x="142"/>
        <item x="143"/>
        <item x="153"/>
        <item x="160"/>
        <item x="161"/>
        <item x="169"/>
        <item x="176"/>
        <item x="185"/>
        <item x="189"/>
        <item x="192"/>
        <item x="198"/>
        <item x="200"/>
        <item x="204"/>
        <item x="205"/>
        <item x="210"/>
        <item x="212"/>
        <item x="218"/>
        <item x="219"/>
        <item x="224"/>
        <item x="225"/>
        <item x="230"/>
        <item x="254"/>
        <item x="257"/>
        <item x="267"/>
        <item x="270"/>
        <item x="274"/>
        <item x="275"/>
        <item x="276"/>
        <item x="302"/>
        <item x="303"/>
        <item x="304"/>
        <item x="305"/>
        <item x="308"/>
        <item x="321"/>
        <item x="336"/>
        <item x="346"/>
        <item x="366"/>
        <item x="371"/>
        <item x="376"/>
        <item x="379"/>
        <item x="384"/>
        <item x="388"/>
        <item x="400"/>
        <item x="401"/>
        <item x="403"/>
        <item x="405"/>
        <item x="34"/>
        <item x="197"/>
        <item x="246"/>
        <item x="256"/>
        <item x="282"/>
        <item x="289"/>
        <item x="296"/>
        <item x="297"/>
        <item x="316"/>
        <item x="326"/>
        <item x="328"/>
        <item x="370"/>
        <item x="121"/>
        <item x="155"/>
        <item x="252"/>
        <item x="253"/>
        <item x="150"/>
        <item x="390"/>
        <item x="211"/>
        <item x="337"/>
        <item x="339"/>
        <item x="357"/>
        <item x="12"/>
        <item x="13"/>
        <item x="15"/>
        <item x="16"/>
        <item x="27"/>
        <item x="45"/>
        <item x="123"/>
        <item x="156"/>
        <item x="232"/>
        <item x="237"/>
        <item x="364"/>
        <item x="385"/>
        <item x="389"/>
        <item x="398"/>
        <item x="93"/>
        <item x="105"/>
        <item x="106"/>
        <item x="163"/>
        <item x="168"/>
        <item x="178"/>
        <item x="183"/>
        <item x="186"/>
        <item x="208"/>
        <item x="255"/>
        <item x="259"/>
        <item x="261"/>
        <item x="269"/>
        <item x="280"/>
        <item x="300"/>
        <item x="324"/>
        <item x="325"/>
        <item x="330"/>
        <item x="331"/>
        <item x="341"/>
        <item x="345"/>
        <item x="347"/>
        <item x="350"/>
        <item x="351"/>
        <item x="353"/>
        <item x="354"/>
        <item x="356"/>
        <item x="360"/>
        <item x="362"/>
        <item x="368"/>
        <item x="380"/>
        <item x="381"/>
        <item x="392"/>
        <item x="393"/>
        <item x="397"/>
      </items>
    </pivotField>
    <pivotField compact="0" numFmtId="3" outline="0" showAll="0" defaultSubtotal="0"/>
    <pivotField compact="0" numFmtId="3" outline="0" showAll="0" defaultSubtotal="0"/>
    <pivotField axis="axisRow" compact="0" outline="0" showAll="0" defaultSubtotal="0">
      <items count="25">
        <item x="1"/>
        <item m="1" x="6"/>
        <item m="1" x="17"/>
        <item m="1" x="5"/>
        <item m="1" x="19"/>
        <item m="1" x="18"/>
        <item m="1" x="20"/>
        <item m="1" x="4"/>
        <item m="1" x="16"/>
        <item m="1" x="9"/>
        <item m="1" x="22"/>
        <item m="1" x="14"/>
        <item m="1" x="15"/>
        <item m="1" x="8"/>
        <item m="1" x="21"/>
        <item m="1" x="24"/>
        <item m="1" x="7"/>
        <item m="1" x="10"/>
        <item m="1" x="13"/>
        <item m="1" x="23"/>
        <item m="1" x="12"/>
        <item m="1" x="11"/>
        <item m="1" x="3"/>
        <item m="1" x="2"/>
        <item x="0"/>
      </items>
    </pivotField>
  </pivotFields>
  <rowFields count="4">
    <field x="2"/>
    <field x="3"/>
    <field x="1"/>
    <field x="6"/>
  </rowFields>
  <rowItems count="31">
    <i>
      <x v="32"/>
      <x v="532"/>
      <x/>
      <x v="24"/>
    </i>
    <i>
      <x v="50"/>
      <x v="183"/>
      <x v="1"/>
      <x/>
    </i>
    <i>
      <x v="126"/>
      <x v="50"/>
      <x v="2"/>
      <x/>
    </i>
    <i>
      <x v="207"/>
      <x v="40"/>
      <x v="3"/>
      <x/>
    </i>
    <i>
      <x v="219"/>
      <x v="549"/>
      <x v="4"/>
      <x v="24"/>
    </i>
    <i r="1">
      <x v="550"/>
      <x v="5"/>
      <x v="24"/>
    </i>
    <i>
      <x v="309"/>
      <x v="94"/>
      <x v="6"/>
      <x v="24"/>
    </i>
    <i>
      <x v="357"/>
      <x v="72"/>
      <x v="7"/>
      <x/>
    </i>
    <i>
      <x v="420"/>
      <x v="115"/>
      <x v="8"/>
      <x/>
    </i>
    <i>
      <x v="454"/>
      <x v="70"/>
      <x v="9"/>
      <x/>
    </i>
    <i>
      <x v="467"/>
      <x v="551"/>
      <x v="10"/>
      <x v="24"/>
    </i>
    <i>
      <x v="495"/>
      <x v="148"/>
      <x v="11"/>
      <x v="24"/>
    </i>
    <i>
      <x v="668"/>
      <x v="40"/>
      <x v="12"/>
      <x/>
    </i>
    <i>
      <x v="773"/>
      <x v="645"/>
      <x v="13"/>
      <x/>
    </i>
    <i>
      <x v="793"/>
      <x v="162"/>
      <x v="15"/>
      <x/>
    </i>
    <i r="1">
      <x v="646"/>
      <x v="14"/>
      <x/>
    </i>
    <i>
      <x v="810"/>
      <x v="647"/>
      <x v="16"/>
      <x/>
    </i>
    <i>
      <x v="838"/>
      <x v="648"/>
      <x v="17"/>
      <x/>
    </i>
    <i>
      <x v="890"/>
      <x v="161"/>
      <x v="18"/>
      <x v="24"/>
    </i>
    <i>
      <x v="923"/>
      <x v="155"/>
      <x v="19"/>
      <x v="24"/>
    </i>
    <i>
      <x v="1018"/>
      <x v="102"/>
      <x v="20"/>
      <x/>
    </i>
    <i>
      <x v="1098"/>
      <x v="552"/>
      <x v="21"/>
      <x/>
    </i>
    <i>
      <x v="1133"/>
      <x v="60"/>
      <x v="22"/>
      <x/>
    </i>
    <i>
      <x v="1136"/>
      <x v="166"/>
      <x v="23"/>
      <x/>
    </i>
    <i>
      <x v="1153"/>
      <x v="210"/>
      <x v="24"/>
      <x/>
    </i>
    <i>
      <x v="1159"/>
      <x v="158"/>
      <x v="25"/>
      <x/>
    </i>
    <i>
      <x v="1194"/>
      <x v="60"/>
      <x v="26"/>
      <x/>
    </i>
    <i>
      <x v="1197"/>
      <x v="208"/>
      <x v="27"/>
      <x v="24"/>
    </i>
    <i>
      <x v="1212"/>
      <x v="552"/>
      <x v="28"/>
      <x/>
    </i>
    <i>
      <x v="1217"/>
      <x v="29"/>
      <x v="29"/>
      <x/>
    </i>
    <i>
      <x v="1272"/>
      <x v="649"/>
      <x v="30"/>
      <x/>
    </i>
  </rowItems>
  <colItems count="1">
    <i/>
  </colItems>
  <pageFields count="1">
    <pageField fld="0" item="0" hier="-1"/>
  </pageFields>
  <formats count="27">
    <format dxfId="162">
      <pivotArea dataOnly="0" labelOnly="1" outline="0" fieldPosition="0">
        <references count="1">
          <reference field="2" count="0"/>
        </references>
      </pivotArea>
    </format>
    <format dxfId="161">
      <pivotArea field="2" type="button" dataOnly="0" labelOnly="1" outline="0" axis="axisRow" fieldPosition="0"/>
    </format>
    <format dxfId="160">
      <pivotArea field="3" type="button" dataOnly="0" labelOnly="1" outline="0" axis="axisRow" fieldPosition="1"/>
    </format>
    <format dxfId="159">
      <pivotArea field="1" type="button" dataOnly="0" labelOnly="1" outline="0" axis="axisRow" fieldPosition="2"/>
    </format>
    <format dxfId="158">
      <pivotArea field="0" type="button" dataOnly="0" labelOnly="1" outline="0" axis="axisPage" fieldPosition="0"/>
    </format>
    <format dxfId="157">
      <pivotArea dataOnly="0" labelOnly="1" outline="0" fieldPosition="0">
        <references count="1">
          <reference field="0" count="1">
            <x v="0"/>
          </reference>
        </references>
      </pivotArea>
    </format>
    <format dxfId="156">
      <pivotArea field="0" type="button" dataOnly="0" labelOnly="1" outline="0" axis="axisPage" fieldPosition="0"/>
    </format>
    <format dxfId="155">
      <pivotArea dataOnly="0" labelOnly="1" outline="0" fieldPosition="0">
        <references count="1">
          <reference field="1" count="0"/>
        </references>
      </pivotArea>
    </format>
    <format dxfId="154">
      <pivotArea dataOnly="0" labelOnly="1" outline="0" fieldPosition="0">
        <references count="3">
          <reference field="1" count="1">
            <x v="0"/>
          </reference>
          <reference field="2" count="1" selected="0">
            <x v="20"/>
          </reference>
          <reference field="3" count="1" selected="0">
            <x v="66"/>
          </reference>
        </references>
      </pivotArea>
    </format>
    <format dxfId="153">
      <pivotArea dataOnly="0" labelOnly="1" outline="0" fieldPosition="0">
        <references count="3">
          <reference field="1" count="1">
            <x v="1"/>
          </reference>
          <reference field="2" count="1" selected="0">
            <x v="155"/>
          </reference>
          <reference field="3" count="1" selected="0">
            <x v="141"/>
          </reference>
        </references>
      </pivotArea>
    </format>
    <format dxfId="152">
      <pivotArea dataOnly="0" labelOnly="1" outline="0" fieldPosition="0">
        <references count="3">
          <reference field="1" count="1">
            <x v="2"/>
          </reference>
          <reference field="2" count="1" selected="0">
            <x v="373"/>
          </reference>
          <reference field="3" count="1" selected="0">
            <x v="48"/>
          </reference>
        </references>
      </pivotArea>
    </format>
    <format dxfId="151">
      <pivotArea dataOnly="0" labelOnly="1" outline="0" fieldPosition="0">
        <references count="3">
          <reference field="1" count="1">
            <x v="3"/>
          </reference>
          <reference field="2" count="1" selected="0">
            <x v="563"/>
          </reference>
          <reference field="3" count="1" selected="0">
            <x v="61"/>
          </reference>
        </references>
      </pivotArea>
    </format>
    <format dxfId="150">
      <pivotArea dataOnly="0" labelOnly="1" outline="0" fieldPosition="0">
        <references count="3">
          <reference field="1" count="1">
            <x v="4"/>
          </reference>
          <reference field="2" count="1" selected="0">
            <x v="608"/>
          </reference>
          <reference field="3" count="1" selected="0">
            <x v="145"/>
          </reference>
        </references>
      </pivotArea>
    </format>
    <format dxfId="149">
      <pivotArea dataOnly="0" labelOnly="1" outline="0" fieldPosition="0">
        <references count="3">
          <reference field="1" count="1">
            <x v="5"/>
          </reference>
          <reference field="2" count="1" selected="0">
            <x v="629"/>
          </reference>
          <reference field="3" count="1" selected="0">
            <x v="137"/>
          </reference>
        </references>
      </pivotArea>
    </format>
    <format dxfId="148">
      <pivotArea dataOnly="0" labelOnly="1" outline="0" fieldPosition="0">
        <references count="3">
          <reference field="1" count="1">
            <x v="6"/>
          </reference>
          <reference field="2" count="1" selected="0">
            <x v="666"/>
          </reference>
          <reference field="3" count="1" selected="0">
            <x v="78"/>
          </reference>
        </references>
      </pivotArea>
    </format>
    <format dxfId="147">
      <pivotArea dataOnly="0" labelOnly="1" outline="0" fieldPosition="0">
        <references count="3">
          <reference field="1" count="1">
            <x v="7"/>
          </reference>
          <reference field="2" count="1" selected="0">
            <x v="681"/>
          </reference>
          <reference field="3" count="1" selected="0">
            <x v="100"/>
          </reference>
        </references>
      </pivotArea>
    </format>
    <format dxfId="146">
      <pivotArea dataOnly="0" labelOnly="1" outline="0" fieldPosition="0">
        <references count="3">
          <reference field="1" count="1">
            <x v="8"/>
          </reference>
          <reference field="2" count="1" selected="0">
            <x v="691"/>
          </reference>
          <reference field="3" count="1" selected="0">
            <x v="48"/>
          </reference>
        </references>
      </pivotArea>
    </format>
    <format dxfId="145">
      <pivotArea dataOnly="0" labelOnly="1" outline="0" fieldPosition="0">
        <references count="3">
          <reference field="1" count="1">
            <x v="9"/>
          </reference>
          <reference field="2" count="1" selected="0">
            <x v="716"/>
          </reference>
          <reference field="3" count="1" selected="0">
            <x v="134"/>
          </reference>
        </references>
      </pivotArea>
    </format>
    <format dxfId="144">
      <pivotArea dataOnly="0" labelOnly="1" outline="0" fieldPosition="0">
        <references count="3">
          <reference field="1" count="1">
            <x v="10"/>
          </reference>
          <reference field="2" count="1" selected="0">
            <x v="877"/>
          </reference>
          <reference field="3" count="1" selected="0">
            <x v="94"/>
          </reference>
        </references>
      </pivotArea>
    </format>
    <format dxfId="143">
      <pivotArea dataOnly="0" labelOnly="1" outline="0" fieldPosition="0">
        <references count="3">
          <reference field="1" count="1">
            <x v="11"/>
          </reference>
          <reference field="2" count="1" selected="0">
            <x v="945"/>
          </reference>
          <reference field="3" count="1" selected="0">
            <x v="87"/>
          </reference>
        </references>
      </pivotArea>
    </format>
    <format dxfId="142">
      <pivotArea dataOnly="0" labelOnly="1" outline="0" fieldPosition="0">
        <references count="3">
          <reference field="1" count="1">
            <x v="12"/>
          </reference>
          <reference field="2" count="1" selected="0">
            <x v="1026"/>
          </reference>
          <reference field="3" count="1" selected="0">
            <x v="37"/>
          </reference>
        </references>
      </pivotArea>
    </format>
    <format dxfId="141">
      <pivotArea dataOnly="0" labelOnly="1" outline="0" fieldPosition="0">
        <references count="3">
          <reference field="1" count="1">
            <x v="13"/>
          </reference>
          <reference field="2" count="1" selected="0">
            <x v="1036"/>
          </reference>
          <reference field="3" count="1" selected="0">
            <x v="155"/>
          </reference>
        </references>
      </pivotArea>
    </format>
    <format dxfId="140">
      <pivotArea dataOnly="0" labelOnly="1" outline="0" fieldPosition="0">
        <references count="3">
          <reference field="1" count="1">
            <x v="14"/>
          </reference>
          <reference field="2" count="1" selected="0">
            <x v="1107"/>
          </reference>
          <reference field="3" count="1" selected="0">
            <x v="69"/>
          </reference>
        </references>
      </pivotArea>
    </format>
    <format dxfId="139">
      <pivotArea dataOnly="0" labelOnly="1" outline="0" fieldPosition="0">
        <references count="3">
          <reference field="1" count="1">
            <x v="15"/>
          </reference>
          <reference field="2" count="1" selected="0">
            <x v="1170"/>
          </reference>
          <reference field="3" count="1" selected="0">
            <x v="4"/>
          </reference>
        </references>
      </pivotArea>
    </format>
    <format dxfId="138">
      <pivotArea dataOnly="0" labelOnly="1" outline="0" fieldPosition="0">
        <references count="3">
          <reference field="1" count="1">
            <x v="16"/>
          </reference>
          <reference field="2" count="1" selected="0">
            <x v="1221"/>
          </reference>
          <reference field="3" count="1" selected="0">
            <x v="175"/>
          </reference>
        </references>
      </pivotArea>
    </format>
    <format dxfId="137">
      <pivotArea dataOnly="0" labelOnly="1" outline="0" fieldPosition="0">
        <references count="3">
          <reference field="1" count="1">
            <x v="17"/>
          </reference>
          <reference field="2" count="1" selected="0">
            <x v="1221"/>
          </reference>
          <reference field="3" count="1" selected="0">
            <x v="177"/>
          </reference>
        </references>
      </pivotArea>
    </format>
    <format dxfId="136">
      <pivotArea field="1" type="button" dataOnly="0" labelOnly="1" outline="0" axis="axisRow" fieldPosition="2"/>
    </format>
  </formats>
  <pivotTableStyleInfo name="PivotStyleMedium7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400-000002000000}" name="Tableau croisé dynamique4" cacheId="0" applyNumberFormats="0" applyBorderFormats="0" applyFontFormats="0" applyPatternFormats="0" applyAlignmentFormats="0" applyWidthHeightFormats="1" dataCaption="Valeurs" updatedVersion="8" minRefreshableVersion="3" rowGrandTotals="0" colGrandTotals="0" itemPrintTitles="1" createdVersion="5" indent="0" compact="0" compactData="0" multipleFieldFilters="0">
  <location ref="AC18:AF120" firstHeaderRow="1" firstDataRow="1" firstDataCol="4" rowPageCount="1" colPageCount="1"/>
  <pivotFields count="7">
    <pivotField axis="axisPage" compact="0" outline="0" showAll="0">
      <items count="37">
        <item x="0"/>
        <item x="1"/>
        <item x="2"/>
        <item m="1" x="34"/>
        <item x="3"/>
        <item x="4"/>
        <item x="5"/>
        <item x="6"/>
        <item m="1" x="29"/>
        <item x="7"/>
        <item x="8"/>
        <item m="1" x="27"/>
        <item x="10"/>
        <item m="1" x="23"/>
        <item x="11"/>
        <item m="1" x="35"/>
        <item x="12"/>
        <item x="13"/>
        <item x="15"/>
        <item m="1" x="31"/>
        <item m="1" x="21"/>
        <item x="16"/>
        <item x="17"/>
        <item x="18"/>
        <item x="19"/>
        <item m="1" x="24"/>
        <item m="1" x="28"/>
        <item x="9"/>
        <item m="1" x="25"/>
        <item m="1" x="30"/>
        <item x="14"/>
        <item m="1" x="26"/>
        <item m="1" x="32"/>
        <item m="1" x="22"/>
        <item m="1" x="20"/>
        <item m="1" x="33"/>
        <item t="default"/>
      </items>
    </pivotField>
    <pivotField name="Code" axis="axisRow" compact="0" outline="0" showAll="0" defaultSubtotal="0">
      <items count="12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</items>
    </pivotField>
    <pivotField axis="axisRow" compact="0" outline="0" showAll="0" sortType="ascending" defaultSubtotal="0">
      <items count="1276">
        <item x="29"/>
        <item m="1" x="728"/>
        <item x="392"/>
        <item x="393"/>
        <item m="1" x="807"/>
        <item m="1" x="624"/>
        <item x="394"/>
        <item m="1" x="596"/>
        <item x="327"/>
        <item x="528"/>
        <item x="328"/>
        <item m="1" x="832"/>
        <item m="1" x="1184"/>
        <item x="74"/>
        <item m="1" x="676"/>
        <item m="1" x="867"/>
        <item m="1" x="1015"/>
        <item x="329"/>
        <item x="132"/>
        <item x="182"/>
        <item x="60"/>
        <item x="61"/>
        <item m="1" x="1089"/>
        <item m="1" x="658"/>
        <item m="1" x="1217"/>
        <item m="1" x="1039"/>
        <item x="330"/>
        <item m="1" x="721"/>
        <item m="1" x="606"/>
        <item m="1" x="828"/>
        <item m="1" x="688"/>
        <item m="1" x="712"/>
        <item x="0"/>
        <item x="490"/>
        <item m="1" x="1064"/>
        <item m="1" x="918"/>
        <item x="331"/>
        <item m="1" x="611"/>
        <item m="1" x="1035"/>
        <item x="183"/>
        <item m="1" x="975"/>
        <item m="1" x="587"/>
        <item x="133"/>
        <item m="1" x="1222"/>
        <item m="1" x="1066"/>
        <item m="1" x="1025"/>
        <item m="1" x="1200"/>
        <item x="529"/>
        <item m="1" x="945"/>
        <item m="1" x="1271"/>
        <item x="1"/>
        <item x="30"/>
        <item m="1" x="1265"/>
        <item m="1" x="902"/>
        <item x="395"/>
        <item x="184"/>
        <item m="1" x="776"/>
        <item x="75"/>
        <item m="1" x="1017"/>
        <item x="31"/>
        <item m="1" x="1247"/>
        <item m="1" x="744"/>
        <item x="185"/>
        <item m="1" x="731"/>
        <item m="1" x="1258"/>
        <item x="186"/>
        <item m="1" x="737"/>
        <item x="269"/>
        <item x="134"/>
        <item x="332"/>
        <item m="1" x="1257"/>
        <item m="1" x="991"/>
        <item x="289"/>
        <item x="76"/>
        <item m="1" x="641"/>
        <item m="1" x="915"/>
        <item m="1" x="1109"/>
        <item x="187"/>
        <item m="1" x="906"/>
        <item m="1" x="746"/>
        <item m="1" x="690"/>
        <item m="1" x="933"/>
        <item m="1" x="1191"/>
        <item m="1" x="1250"/>
        <item m="1" x="1049"/>
        <item x="114"/>
        <item x="135"/>
        <item x="188"/>
        <item m="1" x="582"/>
        <item x="136"/>
        <item x="137"/>
        <item m="1" x="726"/>
        <item x="32"/>
        <item m="1" x="597"/>
        <item m="1" x="1220"/>
        <item x="270"/>
        <item m="1" x="864"/>
        <item m="1" x="591"/>
        <item x="290"/>
        <item m="1" x="940"/>
        <item m="1" x="999"/>
        <item x="491"/>
        <item m="1" x="905"/>
        <item m="1" x="800"/>
        <item m="1" x="1268"/>
        <item m="1" x="586"/>
        <item x="189"/>
        <item m="1" x="1102"/>
        <item x="554"/>
        <item x="396"/>
        <item m="1" x="1193"/>
        <item x="190"/>
        <item x="530"/>
        <item m="1" x="769"/>
        <item x="379"/>
        <item m="1" x="1036"/>
        <item x="304"/>
        <item x="271"/>
        <item x="397"/>
        <item m="1" x="735"/>
        <item x="555"/>
        <item m="1" x="931"/>
        <item m="1" x="794"/>
        <item m="1" x="1196"/>
        <item m="1" x="964"/>
        <item m="1" x="1114"/>
        <item x="2"/>
        <item x="77"/>
        <item m="1" x="1261"/>
        <item m="1" x="801"/>
        <item x="398"/>
        <item m="1" x="967"/>
        <item m="1" x="752"/>
        <item x="115"/>
        <item m="1" x="812"/>
        <item m="1" x="956"/>
        <item x="191"/>
        <item m="1" x="747"/>
        <item m="1" x="652"/>
        <item x="399"/>
        <item m="1" x="969"/>
        <item m="1" x="831"/>
        <item m="1" x="874"/>
        <item x="192"/>
        <item x="138"/>
        <item m="1" x="1221"/>
        <item m="1" x="1073"/>
        <item m="1" x="1167"/>
        <item x="400"/>
        <item x="531"/>
        <item m="1" x="1147"/>
        <item x="532"/>
        <item m="1" x="1272"/>
        <item m="1" x="1143"/>
        <item x="401"/>
        <item m="1" x="1240"/>
        <item x="50"/>
        <item x="556"/>
        <item x="193"/>
        <item x="139"/>
        <item x="140"/>
        <item x="333"/>
        <item m="1" x="1238"/>
        <item m="1" x="910"/>
        <item x="380"/>
        <item m="1" x="979"/>
        <item x="402"/>
        <item m="1" x="1010"/>
        <item x="33"/>
        <item x="194"/>
        <item m="1" x="893"/>
        <item m="1" x="818"/>
        <item x="141"/>
        <item m="1" x="1224"/>
        <item m="1" x="643"/>
        <item x="79"/>
        <item x="116"/>
        <item m="1" x="833"/>
        <item m="1" x="725"/>
        <item m="1" x="1013"/>
        <item x="195"/>
        <item x="78"/>
        <item x="334"/>
        <item m="1" x="856"/>
        <item x="80"/>
        <item m="1" x="1177"/>
        <item x="492"/>
        <item m="1" x="774"/>
        <item m="1" x="1045"/>
        <item m="1" x="748"/>
        <item x="142"/>
        <item m="1" x="613"/>
        <item m="1" x="736"/>
        <item x="493"/>
        <item m="1" x="694"/>
        <item x="403"/>
        <item m="1" x="1087"/>
        <item m="1" x="1058"/>
        <item x="335"/>
        <item x="557"/>
        <item m="1" x="1118"/>
        <item x="81"/>
        <item m="1" x="1074"/>
        <item x="494"/>
        <item m="1" x="599"/>
        <item m="1" x="782"/>
        <item x="495"/>
        <item x="3"/>
        <item m="1" x="1235"/>
        <item x="196"/>
        <item x="404"/>
        <item m="1" x="604"/>
        <item x="197"/>
        <item m="1" x="1117"/>
        <item m="1" x="1207"/>
        <item x="198"/>
        <item x="405"/>
        <item m="1" x="896"/>
        <item m="1" x="1138"/>
        <item x="4"/>
        <item x="496"/>
        <item x="406"/>
        <item m="1" x="1239"/>
        <item m="1" x="926"/>
        <item m="1" x="1245"/>
        <item m="1" x="734"/>
        <item x="336"/>
        <item m="1" x="777"/>
        <item x="82"/>
        <item x="272"/>
        <item x="407"/>
        <item x="337"/>
        <item x="408"/>
        <item m="1" x="1182"/>
        <item m="1" x="1267"/>
        <item m="1" x="803"/>
        <item x="409"/>
        <item m="1" x="651"/>
        <item m="1" x="1078"/>
        <item m="1" x="745"/>
        <item m="1" x="988"/>
        <item x="558"/>
        <item x="559"/>
        <item x="199"/>
        <item m="1" x="1243"/>
        <item x="533"/>
        <item x="273"/>
        <item x="305"/>
        <item x="338"/>
        <item m="1" x="809"/>
        <item m="1" x="852"/>
        <item x="200"/>
        <item m="1" x="894"/>
        <item x="410"/>
        <item x="497"/>
        <item m="1" x="670"/>
        <item m="1" x="850"/>
        <item x="339"/>
        <item m="1" x="1002"/>
        <item x="83"/>
        <item m="1" x="995"/>
        <item x="84"/>
        <item m="1" x="572"/>
        <item x="411"/>
        <item m="1" x="1091"/>
        <item m="1" x="878"/>
        <item m="1" x="573"/>
        <item m="1" x="862"/>
        <item x="201"/>
        <item x="498"/>
        <item x="499"/>
        <item m="1" x="663"/>
        <item m="1" x="772"/>
        <item x="117"/>
        <item x="85"/>
        <item x="143"/>
        <item x="412"/>
        <item m="1" x="702"/>
        <item m="1" x="622"/>
        <item x="534"/>
        <item m="1" x="704"/>
        <item x="202"/>
        <item x="51"/>
        <item x="203"/>
        <item m="1" x="843"/>
        <item m="1" x="684"/>
        <item x="118"/>
        <item m="1" x="879"/>
        <item m="1" x="863"/>
        <item x="413"/>
        <item x="414"/>
        <item x="204"/>
        <item x="306"/>
        <item x="205"/>
        <item x="415"/>
        <item m="1" x="1273"/>
        <item m="1" x="1260"/>
        <item x="34"/>
        <item m="1" x="1033"/>
        <item m="1" x="1131"/>
        <item x="340"/>
        <item x="560"/>
        <item m="1" x="827"/>
        <item m="1" x="1029"/>
        <item m="1" x="798"/>
        <item m="1" x="1166"/>
        <item x="144"/>
        <item x="307"/>
        <item x="86"/>
        <item x="5"/>
        <item m="1" x="1216"/>
        <item m="1" x="1000"/>
        <item x="145"/>
        <item m="1" x="787"/>
        <item m="1" x="817"/>
        <item x="308"/>
        <item x="535"/>
        <item m="1" x="1059"/>
        <item x="341"/>
        <item m="1" x="965"/>
        <item x="146"/>
        <item m="1" x="632"/>
        <item x="206"/>
        <item m="1" x="783"/>
        <item m="1" x="1142"/>
        <item m="1" x="1038"/>
        <item x="500"/>
        <item x="416"/>
        <item x="147"/>
        <item m="1" x="1146"/>
        <item m="1" x="1128"/>
        <item x="501"/>
        <item x="148"/>
        <item m="1" x="848"/>
        <item m="1" x="701"/>
        <item m="1" x="784"/>
        <item x="342"/>
        <item x="309"/>
        <item m="1" x="814"/>
        <item x="87"/>
        <item m="1" x="619"/>
        <item m="1" x="1202"/>
        <item x="310"/>
        <item m="1" x="709"/>
        <item x="207"/>
        <item m="1" x="826"/>
        <item x="149"/>
        <item x="62"/>
        <item m="1" x="1269"/>
        <item m="1" x="1153"/>
        <item m="1" x="640"/>
        <item x="417"/>
        <item m="1" x="1229"/>
        <item m="1" x="829"/>
        <item m="1" x="683"/>
        <item m="1" x="696"/>
        <item m="1" x="936"/>
        <item x="6"/>
        <item m="1" x="710"/>
        <item x="418"/>
        <item m="1" x="900"/>
        <item x="291"/>
        <item x="419"/>
        <item m="1" x="1194"/>
        <item m="1" x="1180"/>
        <item m="1" x="779"/>
        <item m="1" x="853"/>
        <item m="1" x="920"/>
        <item x="311"/>
        <item m="1" x="1082"/>
        <item m="1" x="1168"/>
        <item m="1" x="820"/>
        <item x="274"/>
        <item x="63"/>
        <item x="208"/>
        <item m="1" x="1236"/>
        <item m="1" x="1003"/>
        <item x="343"/>
        <item m="1" x="739"/>
        <item m="1" x="1226"/>
        <item m="1" x="1174"/>
        <item x="119"/>
        <item m="1" x="579"/>
        <item m="1" x="1046"/>
        <item m="1" x="780"/>
        <item x="275"/>
        <item m="1" x="625"/>
        <item m="1" x="708"/>
        <item m="1" x="768"/>
        <item m="1" x="1060"/>
        <item x="420"/>
        <item m="1" x="742"/>
        <item m="1" x="1043"/>
        <item x="209"/>
        <item x="383"/>
        <item x="35"/>
        <item x="276"/>
        <item m="1" x="1088"/>
        <item m="1" x="1136"/>
        <item x="52"/>
        <item m="1" x="854"/>
        <item x="536"/>
        <item x="88"/>
        <item x="421"/>
        <item m="1" x="759"/>
        <item x="64"/>
        <item x="150"/>
        <item m="1" x="903"/>
        <item x="344"/>
        <item x="210"/>
        <item m="1" x="687"/>
        <item m="1" x="1241"/>
        <item x="502"/>
        <item x="422"/>
        <item m="1" x="589"/>
        <item m="1" x="1005"/>
        <item m="1" x="677"/>
        <item x="312"/>
        <item x="89"/>
        <item x="151"/>
        <item x="7"/>
        <item x="503"/>
        <item x="211"/>
        <item m="1" x="718"/>
        <item x="53"/>
        <item x="504"/>
        <item x="313"/>
        <item x="345"/>
        <item x="537"/>
        <item m="1" x="626"/>
        <item x="295"/>
        <item m="1" x="1040"/>
        <item x="212"/>
        <item m="1" x="1176"/>
        <item m="1" x="664"/>
        <item m="1" x="1037"/>
        <item m="1" x="966"/>
        <item m="1" x="593"/>
        <item m="1" x="707"/>
        <item x="120"/>
        <item m="1" x="858"/>
        <item m="1" x="976"/>
        <item m="1" x="984"/>
        <item m="1" x="717"/>
        <item x="36"/>
        <item m="1" x="1099"/>
        <item m="1" x="635"/>
        <item x="152"/>
        <item m="1" x="618"/>
        <item m="1" x="1018"/>
        <item x="538"/>
        <item x="346"/>
        <item m="1" x="741"/>
        <item m="1" x="1135"/>
        <item x="8"/>
        <item m="1" x="799"/>
        <item x="423"/>
        <item m="1" x="928"/>
        <item x="347"/>
        <item m="1" x="1081"/>
        <item m="1" x="888"/>
        <item x="153"/>
        <item x="561"/>
        <item x="65"/>
        <item x="213"/>
        <item m="1" x="1092"/>
        <item m="1" x="1215"/>
        <item x="9"/>
        <item m="1" x="729"/>
        <item x="539"/>
        <item m="1" x="1106"/>
        <item m="1" x="1071"/>
        <item m="1" x="598"/>
        <item x="562"/>
        <item m="1" x="1231"/>
        <item x="296"/>
        <item x="214"/>
        <item x="424"/>
        <item x="154"/>
        <item x="104"/>
        <item x="297"/>
        <item x="37"/>
        <item x="540"/>
        <item m="1" x="790"/>
        <item x="541"/>
        <item m="1" x="1129"/>
        <item m="1" x="682"/>
        <item m="1" x="657"/>
        <item x="425"/>
        <item x="348"/>
        <item m="1" x="1079"/>
        <item x="349"/>
        <item x="426"/>
        <item m="1" x="882"/>
        <item m="1" x="990"/>
        <item x="10"/>
        <item m="1" x="892"/>
        <item x="215"/>
        <item m="1" x="1218"/>
        <item m="1" x="1067"/>
        <item m="1" x="660"/>
        <item m="1" x="1266"/>
        <item m="1" x="1024"/>
        <item x="90"/>
        <item m="1" x="1009"/>
        <item x="216"/>
        <item x="427"/>
        <item m="1" x="608"/>
        <item x="298"/>
        <item m="1" x="937"/>
        <item m="1" x="1233"/>
        <item m="1" x="996"/>
        <item m="1" x="620"/>
        <item x="155"/>
        <item x="156"/>
        <item m="1" x="1006"/>
        <item m="1" x="642"/>
        <item x="505"/>
        <item x="428"/>
        <item x="217"/>
        <item x="350"/>
        <item x="429"/>
        <item x="542"/>
        <item m="1" x="959"/>
        <item m="1" x="1165"/>
        <item m="1" x="1242"/>
        <item m="1" x="1205"/>
        <item x="506"/>
        <item m="1" x="1032"/>
        <item x="430"/>
        <item m="1" x="791"/>
        <item m="1" x="1203"/>
        <item m="1" x="912"/>
        <item m="1" x="904"/>
        <item m="1" x="584"/>
        <item x="431"/>
        <item m="1" x="1171"/>
        <item x="432"/>
        <item m="1" x="1075"/>
        <item m="1" x="1007"/>
        <item m="1" x="1069"/>
        <item m="1" x="1172"/>
        <item m="1" x="1126"/>
        <item m="1" x="1263"/>
        <item x="433"/>
        <item x="563"/>
        <item m="1" x="716"/>
        <item x="434"/>
        <item m="1" x="1048"/>
        <item x="218"/>
        <item x="435"/>
        <item m="1" x="1251"/>
        <item m="1" x="1107"/>
        <item x="38"/>
        <item x="351"/>
        <item x="507"/>
        <item x="436"/>
        <item m="1" x="1225"/>
        <item m="1" x="1016"/>
        <item m="1" x="602"/>
        <item m="1" x="1098"/>
        <item x="508"/>
        <item x="437"/>
        <item m="1" x="1076"/>
        <item x="219"/>
        <item x="438"/>
        <item x="91"/>
        <item m="1" x="713"/>
        <item m="1" x="581"/>
        <item m="1" x="592"/>
        <item m="1" x="1270"/>
        <item m="1" x="1274"/>
        <item m="1" x="607"/>
        <item m="1" x="595"/>
        <item m="1" x="986"/>
        <item x="220"/>
        <item m="1" x="1112"/>
        <item x="352"/>
        <item x="353"/>
        <item m="1" x="1152"/>
        <item m="1" x="837"/>
        <item x="157"/>
        <item m="1" x="1121"/>
        <item m="1" x="603"/>
        <item x="221"/>
        <item m="1" x="898"/>
        <item m="1" x="755"/>
        <item x="384"/>
        <item x="66"/>
        <item x="121"/>
        <item x="158"/>
        <item x="564"/>
        <item m="1" x="846"/>
        <item m="1" x="808"/>
        <item x="565"/>
        <item x="439"/>
        <item m="1" x="1230"/>
        <item x="222"/>
        <item m="1" x="1259"/>
        <item x="314"/>
        <item m="1" x="730"/>
        <item m="1" x="981"/>
        <item m="1" x="938"/>
        <item x="440"/>
        <item m="1" x="781"/>
        <item x="441"/>
        <item x="39"/>
        <item x="122"/>
        <item m="1" x="861"/>
        <item m="1" x="698"/>
        <item x="123"/>
        <item m="1" x="1169"/>
        <item x="223"/>
        <item m="1" x="1085"/>
        <item m="1" x="1162"/>
        <item m="1" x="655"/>
        <item x="442"/>
        <item m="1" x="749"/>
        <item m="1" x="633"/>
        <item x="105"/>
        <item x="543"/>
        <item m="1" x="1170"/>
        <item m="1" x="875"/>
        <item x="159"/>
        <item x="160"/>
        <item m="1" x="1023"/>
        <item x="124"/>
        <item x="444"/>
        <item x="443"/>
        <item m="1" x="1264"/>
        <item m="1" x="1204"/>
        <item m="1" x="727"/>
        <item m="1" x="764"/>
        <item x="445"/>
        <item m="1" x="667"/>
        <item m="1" x="941"/>
        <item m="1" x="871"/>
        <item x="224"/>
        <item m="1" x="917"/>
        <item m="1" x="1141"/>
        <item m="1" x="750"/>
        <item m="1" x="1111"/>
        <item m="1" x="1163"/>
        <item x="509"/>
        <item m="1" x="1012"/>
        <item x="225"/>
        <item m="1" x="810"/>
        <item m="1" x="949"/>
        <item m="1" x="958"/>
        <item x="299"/>
        <item x="226"/>
        <item x="227"/>
        <item m="1" x="1026"/>
        <item m="1" x="1070"/>
        <item m="1" x="786"/>
        <item x="277"/>
        <item m="1" x="1145"/>
        <item m="1" x="1124"/>
        <item m="1" x="623"/>
        <item m="1" x="962"/>
        <item m="1" x="594"/>
        <item m="1" x="913"/>
        <item x="510"/>
        <item m="1" x="1192"/>
        <item x="446"/>
        <item m="1" x="1093"/>
        <item m="1" x="673"/>
        <item x="228"/>
        <item x="11"/>
        <item m="1" x="968"/>
        <item x="354"/>
        <item m="1" x="1181"/>
        <item x="40"/>
        <item m="1" x="1186"/>
        <item x="447"/>
        <item m="1" x="575"/>
        <item x="125"/>
        <item x="67"/>
        <item m="1" x="761"/>
        <item x="544"/>
        <item m="1" x="1077"/>
        <item m="1" x="907"/>
        <item x="161"/>
        <item x="315"/>
        <item m="1" x="877"/>
        <item x="316"/>
        <item m="1" x="1157"/>
        <item x="92"/>
        <item m="1" x="895"/>
        <item m="1" x="802"/>
        <item x="355"/>
        <item m="1" x="1042"/>
        <item m="1" x="1080"/>
        <item m="1" x="946"/>
        <item x="448"/>
        <item m="1" x="672"/>
        <item m="1" x="574"/>
        <item m="1" x="1132"/>
        <item m="1" x="839"/>
        <item m="1" x="1052"/>
        <item x="385"/>
        <item x="68"/>
        <item m="1" x="1125"/>
        <item m="1" x="648"/>
        <item x="162"/>
        <item m="1" x="1211"/>
        <item m="1" x="703"/>
        <item m="1" x="838"/>
        <item m="1" x="778"/>
        <item m="1" x="970"/>
        <item m="1" x="884"/>
        <item m="1" x="785"/>
        <item m="1" x="578"/>
        <item m="1" x="796"/>
        <item x="356"/>
        <item m="1" x="1228"/>
        <item x="69"/>
        <item m="1" x="691"/>
        <item m="1" x="1090"/>
        <item x="449"/>
        <item x="357"/>
        <item m="1" x="792"/>
        <item x="511"/>
        <item m="1" x="686"/>
        <item x="300"/>
        <item x="450"/>
        <item x="566"/>
        <item x="358"/>
        <item x="70"/>
        <item m="1" x="1001"/>
        <item x="451"/>
        <item m="1" x="1115"/>
        <item m="1" x="723"/>
        <item x="41"/>
        <item x="93"/>
        <item m="1" x="789"/>
        <item m="1" x="614"/>
        <item x="163"/>
        <item x="359"/>
        <item m="1" x="997"/>
        <item x="452"/>
        <item x="126"/>
        <item m="1" x="866"/>
        <item x="229"/>
        <item m="1" x="1195"/>
        <item m="1" x="743"/>
        <item m="1" x="766"/>
        <item x="230"/>
        <item x="292"/>
        <item m="1" x="860"/>
        <item m="1" x="678"/>
        <item x="360"/>
        <item m="1" x="1030"/>
        <item x="278"/>
        <item m="1" x="973"/>
        <item m="1" x="1083"/>
        <item m="1" x="897"/>
        <item m="1" x="1178"/>
        <item x="42"/>
        <item m="1" x="610"/>
        <item m="1" x="955"/>
        <item m="1" x="1086"/>
        <item m="1" x="925"/>
        <item x="545"/>
        <item x="453"/>
        <item x="454"/>
        <item x="455"/>
        <item m="1" x="1144"/>
        <item m="1" x="628"/>
        <item m="1" x="671"/>
        <item x="94"/>
        <item m="1" x="1051"/>
        <item m="1" x="1237"/>
        <item x="12"/>
        <item x="546"/>
        <item m="1" x="775"/>
        <item x="456"/>
        <item m="1" x="1148"/>
        <item x="106"/>
        <item m="1" x="758"/>
        <item x="279"/>
        <item x="301"/>
        <item x="361"/>
        <item m="1" x="714"/>
        <item m="1" x="1101"/>
        <item m="1" x="974"/>
        <item x="457"/>
        <item m="1" x="627"/>
        <item x="164"/>
        <item m="1" x="629"/>
        <item x="458"/>
        <item x="231"/>
        <item x="232"/>
        <item x="13"/>
        <item m="1" x="1011"/>
        <item x="459"/>
        <item m="1" x="821"/>
        <item m="1" x="1123"/>
        <item x="280"/>
        <item m="1" x="908"/>
        <item m="1" x="1113"/>
        <item x="233"/>
        <item m="1" x="985"/>
        <item x="165"/>
        <item x="95"/>
        <item x="166"/>
        <item m="1" x="1199"/>
        <item m="1" x="1232"/>
        <item m="1" x="661"/>
        <item x="362"/>
        <item x="14"/>
        <item m="1" x="762"/>
        <item m="1" x="637"/>
        <item m="1" x="1275"/>
        <item x="460"/>
        <item m="1" x="806"/>
        <item x="512"/>
        <item x="386"/>
        <item m="1" x="921"/>
        <item x="107"/>
        <item x="234"/>
        <item m="1" x="711"/>
        <item m="1" x="1050"/>
        <item m="1" x="1095"/>
        <item m="1" x="816"/>
        <item x="363"/>
        <item x="235"/>
        <item m="1" x="638"/>
        <item x="387"/>
        <item m="1" x="1054"/>
        <item m="1" x="1014"/>
        <item m="1" x="1096"/>
        <item m="1" x="617"/>
        <item x="364"/>
        <item x="43"/>
        <item x="461"/>
        <item x="293"/>
        <item x="236"/>
        <item x="15"/>
        <item m="1" x="909"/>
        <item x="237"/>
        <item x="513"/>
        <item m="1" x="765"/>
        <item m="1" x="771"/>
        <item x="388"/>
        <item m="1" x="639"/>
        <item x="365"/>
        <item m="1" x="1209"/>
        <item x="462"/>
        <item m="1" x="577"/>
        <item x="54"/>
        <item x="55"/>
        <item x="317"/>
        <item x="463"/>
        <item m="1" x="630"/>
        <item m="1" x="844"/>
        <item x="167"/>
        <item m="1" x="693"/>
        <item m="1" x="654"/>
        <item m="1" x="922"/>
        <item x="238"/>
        <item m="1" x="1022"/>
        <item m="1" x="692"/>
        <item x="514"/>
        <item m="1" x="1256"/>
        <item x="515"/>
        <item x="127"/>
        <item m="1" x="1156"/>
        <item m="1" x="1262"/>
        <item m="1" x="740"/>
        <item m="1" x="733"/>
        <item m="1" x="841"/>
        <item x="96"/>
        <item m="1" x="1103"/>
        <item x="168"/>
        <item x="169"/>
        <item m="1" x="1061"/>
        <item x="71"/>
        <item x="108"/>
        <item x="281"/>
        <item m="1" x="1189"/>
        <item m="1" x="1183"/>
        <item x="239"/>
        <item x="240"/>
        <item m="1" x="822"/>
        <item x="241"/>
        <item m="1" x="605"/>
        <item x="318"/>
        <item m="1" x="1062"/>
        <item m="1" x="724"/>
        <item x="16"/>
        <item x="319"/>
        <item m="1" x="834"/>
        <item m="1" x="1031"/>
        <item m="1" x="1004"/>
        <item m="1" x="916"/>
        <item m="1" x="621"/>
        <item x="464"/>
        <item m="1" x="649"/>
        <item x="282"/>
        <item m="1" x="924"/>
        <item m="1" x="868"/>
        <item m="1" x="656"/>
        <item m="1" x="804"/>
        <item x="242"/>
        <item m="1" x="1008"/>
        <item x="56"/>
        <item x="465"/>
        <item x="466"/>
        <item m="1" x="1159"/>
        <item m="1" x="1185"/>
        <item m="1" x="1253"/>
        <item m="1" x="720"/>
        <item m="1" x="1140"/>
        <item x="243"/>
        <item m="1" x="767"/>
        <item m="1" x="689"/>
        <item m="1" x="751"/>
        <item x="467"/>
        <item m="1" x="1210"/>
        <item x="244"/>
        <item m="1" x="1019"/>
        <item m="1" x="873"/>
        <item x="17"/>
        <item x="567"/>
        <item m="1" x="1137"/>
        <item m="1" x="697"/>
        <item x="516"/>
        <item x="97"/>
        <item m="1" x="1097"/>
        <item x="547"/>
        <item m="1" x="993"/>
        <item m="1" x="600"/>
        <item x="302"/>
        <item x="517"/>
        <item m="1" x="738"/>
        <item x="468"/>
        <item m="1" x="675"/>
        <item x="44"/>
        <item x="469"/>
        <item m="1" x="1255"/>
        <item m="1" x="819"/>
        <item m="1" x="1161"/>
        <item m="1" x="872"/>
        <item m="1" x="1244"/>
        <item m="1" x="944"/>
        <item m="1" x="601"/>
        <item x="470"/>
        <item x="245"/>
        <item x="98"/>
        <item m="1" x="891"/>
        <item x="170"/>
        <item m="1" x="1034"/>
        <item m="1" x="1056"/>
        <item m="1" x="756"/>
        <item x="246"/>
        <item x="171"/>
        <item m="1" x="935"/>
        <item m="1" x="1044"/>
        <item x="548"/>
        <item m="1" x="615"/>
        <item m="1" x="1190"/>
        <item m="1" x="616"/>
        <item x="72"/>
        <item m="1" x="1055"/>
        <item m="1" x="870"/>
        <item m="1" x="932"/>
        <item x="109"/>
        <item m="1" x="1208"/>
        <item m="1" x="927"/>
        <item x="99"/>
        <item m="1" x="883"/>
        <item x="471"/>
        <item x="549"/>
        <item m="1" x="957"/>
        <item m="1" x="994"/>
        <item m="1" x="1127"/>
        <item m="1" x="700"/>
        <item m="1" x="1100"/>
        <item m="1" x="590"/>
        <item m="1" x="1164"/>
        <item m="1" x="943"/>
        <item m="1" x="980"/>
        <item x="366"/>
        <item m="1" x="849"/>
        <item m="1" x="971"/>
        <item x="100"/>
        <item m="1" x="1133"/>
        <item m="1" x="645"/>
        <item m="1" x="1179"/>
        <item m="1" x="1094"/>
        <item x="128"/>
        <item m="1" x="773"/>
        <item x="367"/>
        <item m="1" x="876"/>
        <item m="1" x="881"/>
        <item x="101"/>
        <item m="1" x="942"/>
        <item m="1" x="952"/>
        <item x="247"/>
        <item m="1" x="899"/>
        <item m="1" x="1198"/>
        <item m="1" x="760"/>
        <item m="1" x="953"/>
        <item x="389"/>
        <item x="248"/>
        <item m="1" x="1139"/>
        <item x="390"/>
        <item m="1" x="989"/>
        <item m="1" x="865"/>
        <item m="1" x="1084"/>
        <item m="1" x="836"/>
        <item x="172"/>
        <item m="1" x="919"/>
        <item x="283"/>
        <item x="45"/>
        <item x="173"/>
        <item x="518"/>
        <item x="18"/>
        <item m="1" x="732"/>
        <item x="294"/>
        <item m="1" x="1213"/>
        <item m="1" x="1175"/>
        <item m="1" x="1116"/>
        <item x="102"/>
        <item x="550"/>
        <item m="1" x="612"/>
        <item x="568"/>
        <item x="249"/>
        <item x="174"/>
        <item x="250"/>
        <item m="1" x="788"/>
        <item x="251"/>
        <item x="472"/>
        <item m="1" x="977"/>
        <item x="252"/>
        <item m="1" x="793"/>
        <item x="391"/>
        <item m="1" x="757"/>
        <item m="1" x="813"/>
        <item x="129"/>
        <item m="1" x="1021"/>
        <item m="1" x="583"/>
        <item x="253"/>
        <item m="1" x="1254"/>
        <item m="1" x="1149"/>
        <item x="254"/>
        <item x="303"/>
        <item x="368"/>
        <item m="1" x="911"/>
        <item m="1" x="1108"/>
        <item x="551"/>
        <item m="1" x="1187"/>
        <item m="1" x="998"/>
        <item m="1" x="1201"/>
        <item m="1" x="669"/>
        <item x="46"/>
        <item x="519"/>
        <item m="1" x="823"/>
        <item x="369"/>
        <item m="1" x="930"/>
        <item m="1" x="1150"/>
        <item x="552"/>
        <item x="370"/>
        <item m="1" x="923"/>
        <item x="255"/>
        <item m="1" x="1223"/>
        <item m="1" x="887"/>
        <item m="1" x="631"/>
        <item m="1" x="653"/>
        <item m="1" x="1206"/>
        <item x="381"/>
        <item m="1" x="1197"/>
        <item m="1" x="859"/>
        <item x="473"/>
        <item m="1" x="699"/>
        <item m="1" x="947"/>
        <item x="284"/>
        <item x="520"/>
        <item x="521"/>
        <item x="474"/>
        <item m="1" x="992"/>
        <item x="285"/>
        <item m="1" x="1154"/>
        <item m="1" x="929"/>
        <item m="1" x="1188"/>
        <item m="1" x="705"/>
        <item x="175"/>
        <item m="1" x="665"/>
        <item x="320"/>
        <item m="1" x="679"/>
        <item x="321"/>
        <item m="1" x="668"/>
        <item m="1" x="650"/>
        <item x="475"/>
        <item x="476"/>
        <item x="477"/>
        <item x="57"/>
        <item x="19"/>
        <item m="1" x="825"/>
        <item m="1" x="1249"/>
        <item m="1" x="880"/>
        <item m="1" x="1027"/>
        <item m="1" x="719"/>
        <item m="1" x="588"/>
        <item m="1" x="1130"/>
        <item m="1" x="1212"/>
        <item m="1" x="634"/>
        <item m="1" x="842"/>
        <item m="1" x="1214"/>
        <item m="1" x="1219"/>
        <item x="322"/>
        <item m="1" x="763"/>
        <item m="1" x="889"/>
        <item x="176"/>
        <item x="47"/>
        <item x="256"/>
        <item m="1" x="1248"/>
        <item x="522"/>
        <item x="478"/>
        <item x="371"/>
        <item x="569"/>
        <item x="178"/>
        <item x="179"/>
        <item m="1" x="722"/>
        <item x="323"/>
        <item x="180"/>
        <item x="110"/>
        <item m="1" x="840"/>
        <item x="479"/>
        <item m="1" x="1158"/>
        <item x="177"/>
        <item m="1" x="972"/>
        <item x="20"/>
        <item x="286"/>
        <item m="1" x="680"/>
        <item x="21"/>
        <item x="480"/>
        <item m="1" x="982"/>
        <item m="1" x="647"/>
        <item m="1" x="963"/>
        <item m="1" x="576"/>
        <item m="1" x="1246"/>
        <item x="481"/>
        <item x="372"/>
        <item x="257"/>
        <item x="103"/>
        <item x="570"/>
        <item x="373"/>
        <item x="258"/>
        <item m="1" x="685"/>
        <item m="1" x="914"/>
        <item m="1" x="674"/>
        <item x="22"/>
        <item m="1" x="1041"/>
        <item m="1" x="754"/>
        <item x="482"/>
        <item m="1" x="830"/>
        <item x="111"/>
        <item x="23"/>
        <item m="1" x="835"/>
        <item m="1" x="646"/>
        <item m="1" x="666"/>
        <item x="130"/>
        <item m="1" x="1047"/>
        <item m="1" x="706"/>
        <item m="1" x="934"/>
        <item m="1" x="695"/>
        <item x="259"/>
        <item m="1" x="1065"/>
        <item x="73"/>
        <item m="1" x="890"/>
        <item x="523"/>
        <item m="1" x="1063"/>
        <item m="1" x="1155"/>
        <item m="1" x="1119"/>
        <item x="374"/>
        <item x="260"/>
        <item x="131"/>
        <item x="483"/>
        <item m="1" x="805"/>
        <item m="1" x="811"/>
        <item m="1" x="1234"/>
        <item x="524"/>
        <item m="1" x="857"/>
        <item x="324"/>
        <item m="1" x="1134"/>
        <item x="325"/>
        <item m="1" x="1053"/>
        <item x="571"/>
        <item m="1" x="1105"/>
        <item x="261"/>
        <item m="1" x="753"/>
        <item x="553"/>
        <item x="24"/>
        <item m="1" x="1151"/>
        <item x="262"/>
        <item x="25"/>
        <item m="1" x="847"/>
        <item m="1" x="795"/>
        <item m="1" x="824"/>
        <item m="1" x="960"/>
        <item x="112"/>
        <item m="1" x="609"/>
        <item x="525"/>
        <item m="1" x="851"/>
        <item m="1" x="1160"/>
        <item x="263"/>
        <item x="326"/>
        <item x="48"/>
        <item m="1" x="951"/>
        <item m="1" x="1020"/>
        <item x="26"/>
        <item x="375"/>
        <item x="49"/>
        <item m="1" x="815"/>
        <item m="1" x="948"/>
        <item x="27"/>
        <item m="1" x="983"/>
        <item m="1" x="580"/>
        <item x="287"/>
        <item x="382"/>
        <item m="1" x="1110"/>
        <item m="1" x="885"/>
        <item m="1" x="636"/>
        <item m="1" x="1104"/>
        <item x="288"/>
        <item m="1" x="662"/>
        <item m="1" x="659"/>
        <item m="1" x="585"/>
        <item m="1" x="1122"/>
        <item m="1" x="950"/>
        <item x="526"/>
        <item x="484"/>
        <item m="1" x="770"/>
        <item x="264"/>
        <item m="1" x="845"/>
        <item x="58"/>
        <item x="485"/>
        <item m="1" x="1028"/>
        <item x="376"/>
        <item m="1" x="901"/>
        <item x="377"/>
        <item m="1" x="715"/>
        <item m="1" x="954"/>
        <item m="1" x="1252"/>
        <item m="1" x="1173"/>
        <item x="113"/>
        <item m="1" x="1068"/>
        <item m="1" x="797"/>
        <item m="1" x="886"/>
        <item x="378"/>
        <item m="1" x="939"/>
        <item m="1" x="987"/>
        <item m="1" x="1057"/>
        <item m="1" x="855"/>
        <item m="1" x="961"/>
        <item m="1" x="978"/>
        <item m="1" x="1120"/>
        <item m="1" x="681"/>
        <item x="486"/>
        <item m="1" x="1072"/>
        <item x="487"/>
        <item x="59"/>
        <item x="265"/>
        <item m="1" x="1227"/>
        <item x="488"/>
        <item x="266"/>
        <item x="527"/>
        <item x="267"/>
        <item m="1" x="644"/>
        <item x="268"/>
        <item x="28"/>
        <item x="181"/>
        <item x="489"/>
        <item m="1" x="869"/>
      </items>
    </pivotField>
    <pivotField axis="axisRow" compact="0" outline="0" showAll="0" defaultSubtotal="0">
      <items count="694">
        <item m="1" x="609"/>
        <item x="348"/>
        <item m="1" x="551"/>
        <item x="78"/>
        <item x="73"/>
        <item x="48"/>
        <item x="79"/>
        <item x="55"/>
        <item m="1" x="555"/>
        <item x="158"/>
        <item x="38"/>
        <item m="1" x="486"/>
        <item m="1" x="493"/>
        <item m="1" x="663"/>
        <item x="343"/>
        <item x="298"/>
        <item x="177"/>
        <item x="85"/>
        <item x="76"/>
        <item m="1" x="422"/>
        <item x="58"/>
        <item m="1" x="432"/>
        <item x="130"/>
        <item m="1" x="527"/>
        <item m="1" x="503"/>
        <item x="28"/>
        <item x="29"/>
        <item m="1" x="652"/>
        <item m="1" x="487"/>
        <item x="26"/>
        <item x="207"/>
        <item m="1" x="668"/>
        <item m="1" x="550"/>
        <item m="1" x="421"/>
        <item m="1" x="670"/>
        <item x="81"/>
        <item x="30"/>
        <item m="1" x="420"/>
        <item x="50"/>
        <item x="367"/>
        <item x="3"/>
        <item x="250"/>
        <item m="1" x="608"/>
        <item m="1" x="660"/>
        <item x="53"/>
        <item m="1" x="498"/>
        <item x="110"/>
        <item m="1" x="458"/>
        <item x="44"/>
        <item x="234"/>
        <item x="2"/>
        <item x="146"/>
        <item x="311"/>
        <item m="1" x="576"/>
        <item x="175"/>
        <item m="1" x="641"/>
        <item x="249"/>
        <item x="32"/>
        <item x="70"/>
        <item m="1" x="621"/>
        <item x="21"/>
        <item m="1" x="571"/>
        <item x="223"/>
        <item m="1" x="639"/>
        <item x="365"/>
        <item m="1" x="528"/>
        <item x="59"/>
        <item m="1" x="474"/>
        <item x="57"/>
        <item m="1" x="638"/>
        <item x="9"/>
        <item x="402"/>
        <item x="7"/>
        <item x="344"/>
        <item x="40"/>
        <item x="60"/>
        <item m="1" x="481"/>
        <item m="1" x="657"/>
        <item x="247"/>
        <item m="1" x="512"/>
        <item m="1" x="476"/>
        <item x="39"/>
        <item x="115"/>
        <item m="1" x="614"/>
        <item m="1" x="456"/>
        <item x="322"/>
        <item x="196"/>
        <item x="145"/>
        <item x="217"/>
        <item x="283"/>
        <item m="1" x="587"/>
        <item x="101"/>
        <item x="136"/>
        <item m="1" x="507"/>
        <item x="6"/>
        <item x="41"/>
        <item m="1" x="629"/>
        <item x="91"/>
        <item m="1" x="659"/>
        <item m="1" x="654"/>
        <item x="64"/>
        <item m="1" x="547"/>
        <item x="19"/>
        <item x="170"/>
        <item x="318"/>
        <item m="1" x="423"/>
        <item x="273"/>
        <item x="113"/>
        <item x="213"/>
        <item x="111"/>
        <item x="184"/>
        <item x="82"/>
        <item x="52"/>
        <item x="139"/>
        <item m="1" x="414"/>
        <item x="8"/>
        <item x="214"/>
        <item x="119"/>
        <item x="243"/>
        <item x="279"/>
        <item x="264"/>
        <item x="263"/>
        <item x="149"/>
        <item x="173"/>
        <item m="1" x="463"/>
        <item x="281"/>
        <item m="1" x="643"/>
        <item x="51"/>
        <item x="56"/>
        <item m="1" x="615"/>
        <item x="291"/>
        <item m="1" x="506"/>
        <item x="338"/>
        <item x="152"/>
        <item x="68"/>
        <item x="342"/>
        <item x="151"/>
        <item x="203"/>
        <item x="262"/>
        <item x="116"/>
        <item m="1" x="537"/>
        <item m="1" x="536"/>
        <item m="1" x="552"/>
        <item x="114"/>
        <item m="1" x="579"/>
        <item m="1" x="443"/>
        <item m="1" x="467"/>
        <item m="1" x="516"/>
        <item x="11"/>
        <item x="193"/>
        <item x="80"/>
        <item x="157"/>
        <item x="174"/>
        <item x="361"/>
        <item x="36"/>
        <item x="18"/>
        <item m="1" x="662"/>
        <item x="77"/>
        <item x="24"/>
        <item x="42"/>
        <item x="319"/>
        <item x="17"/>
        <item x="14"/>
        <item x="97"/>
        <item m="1" x="667"/>
        <item x="374"/>
        <item x="22"/>
        <item x="112"/>
        <item x="238"/>
        <item m="1" x="556"/>
        <item m="1" x="647"/>
        <item x="240"/>
        <item m="1" x="656"/>
        <item m="1" x="594"/>
        <item x="33"/>
        <item x="287"/>
        <item m="1" x="526"/>
        <item x="288"/>
        <item m="1" x="505"/>
        <item x="128"/>
        <item x="61"/>
        <item x="37"/>
        <item m="1" x="604"/>
        <item x="1"/>
        <item x="295"/>
        <item x="172"/>
        <item x="147"/>
        <item m="1" x="601"/>
        <item m="1" x="632"/>
        <item m="1" x="554"/>
        <item x="226"/>
        <item x="104"/>
        <item m="1" x="535"/>
        <item m="1" x="525"/>
        <item x="355"/>
        <item x="286"/>
        <item m="1" x="676"/>
        <item x="242"/>
        <item m="1" x="675"/>
        <item x="309"/>
        <item x="140"/>
        <item m="1" x="693"/>
        <item x="181"/>
        <item x="90"/>
        <item x="84"/>
        <item m="1" x="674"/>
        <item m="1" x="563"/>
        <item x="359"/>
        <item x="25"/>
        <item m="1" x="649"/>
        <item x="23"/>
        <item x="137"/>
        <item m="1" x="605"/>
        <item m="1" x="650"/>
        <item m="1" x="567"/>
        <item m="1" x="430"/>
        <item x="190"/>
        <item m="1" x="628"/>
        <item x="54"/>
        <item x="94"/>
        <item m="1" x="413"/>
        <item x="244"/>
        <item m="1" x="426"/>
        <item x="277"/>
        <item x="88"/>
        <item m="1" x="684"/>
        <item m="1" x="689"/>
        <item m="1" x="490"/>
        <item m="1" x="473"/>
        <item m="1" x="635"/>
        <item m="1" x="630"/>
        <item m="1" x="570"/>
        <item m="1" x="489"/>
        <item m="1" x="425"/>
        <item x="102"/>
        <item m="1" x="611"/>
        <item m="1" x="626"/>
        <item x="222"/>
        <item m="1" x="682"/>
        <item m="1" x="665"/>
        <item x="323"/>
        <item m="1" x="583"/>
        <item m="1" x="470"/>
        <item x="202"/>
        <item m="1" x="624"/>
        <item m="1" x="586"/>
        <item m="1" x="619"/>
        <item m="1" x="546"/>
        <item x="248"/>
        <item x="266"/>
        <item m="1" x="442"/>
        <item m="1" x="513"/>
        <item m="1" x="548"/>
        <item m="1" x="428"/>
        <item m="1" x="581"/>
        <item x="299"/>
        <item m="1" x="640"/>
        <item m="1" x="622"/>
        <item m="1" x="584"/>
        <item x="315"/>
        <item x="271"/>
        <item m="1" x="478"/>
        <item m="1" x="544"/>
        <item x="386"/>
        <item x="47"/>
        <item m="1" x="580"/>
        <item m="1" x="598"/>
        <item x="340"/>
        <item m="1" x="589"/>
        <item m="1" x="418"/>
        <item m="1" x="618"/>
        <item x="194"/>
        <item m="1" x="591"/>
        <item m="1" x="492"/>
        <item m="1" x="625"/>
        <item x="292"/>
        <item x="294"/>
        <item x="62"/>
        <item m="1" x="521"/>
        <item x="317"/>
        <item m="1" x="515"/>
        <item x="100"/>
        <item m="1" x="541"/>
        <item m="1" x="437"/>
        <item m="1" x="645"/>
        <item m="1" x="612"/>
        <item m="1" x="479"/>
        <item m="1" x="499"/>
        <item m="1" x="603"/>
        <item m="1" x="606"/>
        <item m="1" x="582"/>
        <item m="1" x="427"/>
        <item m="1" x="514"/>
        <item m="1" x="457"/>
        <item m="1" x="690"/>
        <item m="1" x="500"/>
        <item m="1" x="450"/>
        <item m="1" x="573"/>
        <item x="171"/>
        <item m="1" x="561"/>
        <item m="1" x="447"/>
        <item m="1" x="692"/>
        <item x="265"/>
        <item m="1" x="564"/>
        <item m="1" x="631"/>
        <item m="1" x="482"/>
        <item m="1" x="517"/>
        <item x="63"/>
        <item x="206"/>
        <item m="1" x="419"/>
        <item m="1" x="613"/>
        <item x="272"/>
        <item x="285"/>
        <item x="180"/>
        <item m="1" x="511"/>
        <item x="72"/>
        <item x="268"/>
        <item x="49"/>
        <item m="1" x="644"/>
        <item m="1" x="568"/>
        <item x="349"/>
        <item m="1" x="600"/>
        <item m="1" x="559"/>
        <item m="1" x="588"/>
        <item m="1" x="595"/>
        <item m="1" x="429"/>
        <item m="1" x="465"/>
        <item m="1" x="483"/>
        <item x="179"/>
        <item x="74"/>
        <item m="1" x="464"/>
        <item x="409"/>
        <item x="191"/>
        <item x="215"/>
        <item m="1" x="683"/>
        <item x="395"/>
        <item m="1" x="508"/>
        <item m="1" x="545"/>
        <item m="1" x="565"/>
        <item m="1" x="496"/>
        <item m="1" x="441"/>
        <item m="1" x="501"/>
        <item m="1" x="575"/>
        <item x="164"/>
        <item m="1" x="672"/>
        <item m="1" x="520"/>
        <item x="129"/>
        <item m="1" x="616"/>
        <item m="1" x="434"/>
        <item m="1" x="661"/>
        <item m="1" x="592"/>
        <item m="1" x="475"/>
        <item m="1" x="664"/>
        <item m="1" x="484"/>
        <item m="1" x="446"/>
        <item m="1" x="469"/>
        <item m="1" x="495"/>
        <item x="245"/>
        <item m="1" x="658"/>
        <item m="1" x="679"/>
        <item m="1" x="651"/>
        <item x="209"/>
        <item m="1" x="411"/>
        <item x="148"/>
        <item m="1" x="502"/>
        <item m="1" x="524"/>
        <item x="320"/>
        <item x="383"/>
        <item x="408"/>
        <item x="332"/>
        <item m="1" x="529"/>
        <item m="1" x="530"/>
        <item m="1" x="557"/>
        <item m="1" x="412"/>
        <item m="1" x="461"/>
        <item m="1" x="518"/>
        <item m="1" x="471"/>
        <item m="1" x="532"/>
        <item x="236"/>
        <item x="127"/>
        <item m="1" x="439"/>
        <item m="1" x="681"/>
        <item m="1" x="533"/>
        <item m="1" x="633"/>
        <item m="1" x="574"/>
        <item m="1" x="543"/>
        <item m="1" x="585"/>
        <item m="1" x="459"/>
        <item m="1" x="462"/>
        <item m="1" x="602"/>
        <item m="1" x="538"/>
        <item x="260"/>
        <item m="1" x="596"/>
        <item m="1" x="460"/>
        <item m="1" x="417"/>
        <item x="378"/>
        <item m="1" x="637"/>
        <item x="83"/>
        <item x="241"/>
        <item x="159"/>
        <item x="144"/>
        <item m="1" x="646"/>
        <item m="1" x="572"/>
        <item m="1" x="440"/>
        <item x="107"/>
        <item x="108"/>
        <item m="1" x="509"/>
        <item m="1" x="444"/>
        <item x="125"/>
        <item x="69"/>
        <item m="1" x="531"/>
        <item m="1" x="678"/>
        <item m="1" x="410"/>
        <item x="301"/>
        <item x="201"/>
        <item m="1" x="680"/>
        <item m="1" x="597"/>
        <item m="1" x="542"/>
        <item x="92"/>
        <item m="1" x="566"/>
        <item m="1" x="433"/>
        <item x="135"/>
        <item x="89"/>
        <item x="372"/>
        <item m="1" x="623"/>
        <item m="1" x="627"/>
        <item m="1" x="453"/>
        <item m="1" x="519"/>
        <item x="284"/>
        <item x="227"/>
        <item m="1" x="424"/>
        <item m="1" x="685"/>
        <item x="118"/>
        <item m="1" x="448"/>
        <item m="1" x="436"/>
        <item m="1" x="599"/>
        <item m="1" x="449"/>
        <item x="154"/>
        <item m="1" x="549"/>
        <item m="1" x="578"/>
        <item x="162"/>
        <item m="1" x="539"/>
        <item m="1" x="620"/>
        <item m="1" x="523"/>
        <item m="1" x="466"/>
        <item m="1" x="451"/>
        <item m="1" x="648"/>
        <item m="1" x="415"/>
        <item m="1" x="553"/>
        <item x="124"/>
        <item x="327"/>
        <item x="335"/>
        <item x="396"/>
        <item m="1" x="452"/>
        <item x="131"/>
        <item x="363"/>
        <item m="1" x="617"/>
        <item m="1" x="438"/>
        <item x="387"/>
        <item x="67"/>
        <item x="87"/>
        <item x="117"/>
        <item x="394"/>
        <item x="220"/>
        <item x="221"/>
        <item x="98"/>
        <item m="1" x="577"/>
        <item x="293"/>
        <item x="313"/>
        <item m="1" x="504"/>
        <item x="404"/>
        <item x="407"/>
        <item m="1" x="435"/>
        <item m="1" x="688"/>
        <item m="1" x="634"/>
        <item x="46"/>
        <item x="65"/>
        <item x="66"/>
        <item m="1" x="636"/>
        <item x="43"/>
        <item m="1" x="534"/>
        <item m="1" x="522"/>
        <item x="167"/>
        <item m="1" x="488"/>
        <item x="187"/>
        <item x="188"/>
        <item m="1" x="610"/>
        <item x="199"/>
        <item m="1" x="590"/>
        <item m="1" x="497"/>
        <item x="233"/>
        <item x="235"/>
        <item x="239"/>
        <item x="258"/>
        <item m="1" x="593"/>
        <item m="1" x="686"/>
        <item m="1" x="472"/>
        <item m="1" x="491"/>
        <item m="1" x="666"/>
        <item x="278"/>
        <item m="1" x="669"/>
        <item x="329"/>
        <item m="1" x="540"/>
        <item x="306"/>
        <item x="312"/>
        <item x="231"/>
        <item x="333"/>
        <item x="334"/>
        <item x="352"/>
        <item m="1" x="510"/>
        <item m="1" x="653"/>
        <item x="399"/>
        <item x="406"/>
        <item x="377"/>
        <item m="1" x="485"/>
        <item x="182"/>
        <item x="314"/>
        <item m="1" x="468"/>
        <item x="165"/>
        <item m="1" x="416"/>
        <item m="1" x="558"/>
        <item m="1" x="455"/>
        <item m="1" x="687"/>
        <item x="132"/>
        <item m="1" x="445"/>
        <item x="251"/>
        <item m="1" x="480"/>
        <item m="1" x="454"/>
        <item m="1" x="560"/>
        <item x="307"/>
        <item m="1" x="477"/>
        <item m="1" x="671"/>
        <item x="0"/>
        <item m="1" x="607"/>
        <item m="1" x="691"/>
        <item m="1" x="494"/>
        <item x="228"/>
        <item x="229"/>
        <item m="1" x="562"/>
        <item m="1" x="655"/>
        <item m="1" x="642"/>
        <item m="1" x="431"/>
        <item x="166"/>
        <item x="382"/>
        <item x="195"/>
        <item x="290"/>
        <item x="216"/>
        <item m="1" x="569"/>
        <item m="1" x="673"/>
        <item x="4"/>
        <item x="5"/>
        <item x="10"/>
        <item x="20"/>
        <item x="71"/>
        <item x="109"/>
        <item m="1" x="677"/>
        <item x="310"/>
        <item x="358"/>
        <item x="369"/>
        <item x="373"/>
        <item x="375"/>
        <item x="391"/>
        <item x="31"/>
        <item x="35"/>
        <item x="75"/>
        <item x="86"/>
        <item x="95"/>
        <item x="96"/>
        <item x="99"/>
        <item x="103"/>
        <item x="120"/>
        <item x="122"/>
        <item x="126"/>
        <item x="133"/>
        <item x="134"/>
        <item x="138"/>
        <item x="141"/>
        <item x="142"/>
        <item x="143"/>
        <item x="153"/>
        <item x="160"/>
        <item x="161"/>
        <item x="169"/>
        <item x="176"/>
        <item x="185"/>
        <item x="189"/>
        <item x="192"/>
        <item x="198"/>
        <item x="200"/>
        <item x="204"/>
        <item x="205"/>
        <item x="210"/>
        <item x="212"/>
        <item x="218"/>
        <item x="219"/>
        <item x="224"/>
        <item x="225"/>
        <item x="230"/>
        <item x="254"/>
        <item x="257"/>
        <item x="267"/>
        <item x="270"/>
        <item x="274"/>
        <item x="275"/>
        <item x="276"/>
        <item x="302"/>
        <item x="303"/>
        <item x="304"/>
        <item x="305"/>
        <item x="308"/>
        <item x="321"/>
        <item x="336"/>
        <item x="346"/>
        <item x="366"/>
        <item x="371"/>
        <item x="376"/>
        <item x="379"/>
        <item x="384"/>
        <item x="388"/>
        <item x="400"/>
        <item x="401"/>
        <item x="403"/>
        <item x="405"/>
        <item x="34"/>
        <item x="197"/>
        <item x="246"/>
        <item x="256"/>
        <item x="282"/>
        <item x="289"/>
        <item x="296"/>
        <item x="297"/>
        <item x="316"/>
        <item x="326"/>
        <item x="328"/>
        <item x="370"/>
        <item x="121"/>
        <item x="155"/>
        <item x="252"/>
        <item x="253"/>
        <item x="150"/>
        <item x="390"/>
        <item x="211"/>
        <item x="337"/>
        <item x="339"/>
        <item x="357"/>
        <item x="12"/>
        <item x="13"/>
        <item x="15"/>
        <item x="16"/>
        <item x="27"/>
        <item x="45"/>
        <item x="123"/>
        <item x="156"/>
        <item x="232"/>
        <item x="237"/>
        <item x="364"/>
        <item x="385"/>
        <item x="389"/>
        <item x="398"/>
        <item x="93"/>
        <item x="105"/>
        <item x="106"/>
        <item x="163"/>
        <item x="168"/>
        <item x="178"/>
        <item x="183"/>
        <item x="186"/>
        <item x="208"/>
        <item x="255"/>
        <item x="259"/>
        <item x="261"/>
        <item x="269"/>
        <item x="280"/>
        <item x="300"/>
        <item x="324"/>
        <item x="325"/>
        <item x="330"/>
        <item x="331"/>
        <item x="341"/>
        <item x="345"/>
        <item x="347"/>
        <item x="350"/>
        <item x="351"/>
        <item x="353"/>
        <item x="354"/>
        <item x="356"/>
        <item x="360"/>
        <item x="362"/>
        <item x="368"/>
        <item x="380"/>
        <item x="381"/>
        <item x="392"/>
        <item x="393"/>
        <item x="397"/>
      </items>
    </pivotField>
    <pivotField compact="0" numFmtId="3" outline="0" showAll="0" defaultSubtotal="0"/>
    <pivotField compact="0" numFmtId="3" outline="0" showAll="0" defaultSubtotal="0"/>
    <pivotField axis="axisRow" compact="0" outline="0" showAll="0" defaultSubtotal="0">
      <items count="25">
        <item x="1"/>
        <item m="1" x="6"/>
        <item m="1" x="17"/>
        <item m="1" x="5"/>
        <item m="1" x="19"/>
        <item m="1" x="18"/>
        <item m="1" x="20"/>
        <item m="1" x="4"/>
        <item m="1" x="16"/>
        <item m="1" x="9"/>
        <item m="1" x="22"/>
        <item m="1" x="14"/>
        <item m="1" x="15"/>
        <item m="1" x="8"/>
        <item m="1" x="21"/>
        <item m="1" x="24"/>
        <item m="1" x="7"/>
        <item m="1" x="10"/>
        <item m="1" x="13"/>
        <item m="1" x="23"/>
        <item m="1" x="12"/>
        <item m="1" x="11"/>
        <item m="1" x="3"/>
        <item m="1" x="2"/>
        <item x="0"/>
      </items>
    </pivotField>
  </pivotFields>
  <rowFields count="4">
    <field x="2"/>
    <field x="3"/>
    <field x="1"/>
    <field x="6"/>
  </rowFields>
  <rowItems count="102">
    <i>
      <x v="19"/>
      <x v="191"/>
      <x/>
      <x v="24"/>
    </i>
    <i>
      <x v="39"/>
      <x v="581"/>
      <x v="1"/>
      <x v="24"/>
    </i>
    <i>
      <x v="55"/>
      <x v="440"/>
      <x v="2"/>
      <x v="24"/>
    </i>
    <i>
      <x v="62"/>
      <x v="662"/>
      <x v="3"/>
      <x/>
    </i>
    <i>
      <x v="65"/>
      <x v="5"/>
      <x v="4"/>
      <x v="24"/>
    </i>
    <i r="1">
      <x v="48"/>
      <x v="5"/>
      <x v="24"/>
    </i>
    <i>
      <x v="77"/>
      <x v="343"/>
      <x v="6"/>
      <x/>
    </i>
    <i r="1">
      <x v="518"/>
      <x v="7"/>
      <x/>
    </i>
    <i>
      <x v="87"/>
      <x v="17"/>
      <x v="8"/>
      <x v="24"/>
    </i>
    <i>
      <x v="106"/>
      <x v="542"/>
      <x v="9"/>
      <x/>
    </i>
    <i>
      <x v="111"/>
      <x v="482"/>
      <x v="10"/>
      <x v="24"/>
    </i>
    <i>
      <x v="136"/>
      <x v="134"/>
      <x v="11"/>
      <x v="24"/>
    </i>
    <i>
      <x v="143"/>
      <x v="663"/>
      <x v="12"/>
      <x/>
    </i>
    <i>
      <x v="158"/>
      <x v="582"/>
      <x v="13"/>
      <x v="24"/>
    </i>
    <i>
      <x v="169"/>
      <x v="57"/>
      <x v="14"/>
      <x v="24"/>
    </i>
    <i>
      <x v="180"/>
      <x v="103"/>
      <x v="15"/>
      <x v="24"/>
    </i>
    <i>
      <x v="209"/>
      <x v="298"/>
      <x v="16"/>
      <x/>
    </i>
    <i>
      <x v="212"/>
      <x v="81"/>
      <x v="17"/>
      <x/>
    </i>
    <i r="1">
      <x v="185"/>
      <x v="18"/>
      <x/>
    </i>
    <i>
      <x v="215"/>
      <x v="133"/>
      <x v="19"/>
      <x v="24"/>
    </i>
    <i>
      <x v="243"/>
      <x v="123"/>
      <x v="20"/>
      <x v="24"/>
    </i>
    <i>
      <x v="251"/>
      <x v="162"/>
      <x v="21"/>
      <x/>
    </i>
    <i>
      <x v="268"/>
      <x v="152"/>
      <x v="22"/>
      <x/>
    </i>
    <i>
      <x v="281"/>
      <x v="440"/>
      <x v="23"/>
      <x/>
    </i>
    <i>
      <x v="283"/>
      <x v="3"/>
      <x v="24"/>
      <x/>
    </i>
    <i>
      <x v="291"/>
      <x v="29"/>
      <x v="25"/>
      <x/>
    </i>
    <i>
      <x v="293"/>
      <x v="163"/>
      <x v="26"/>
      <x v="24"/>
    </i>
    <i>
      <x v="322"/>
      <x v="54"/>
      <x v="27"/>
      <x/>
    </i>
    <i>
      <x v="328"/>
      <x v="143"/>
      <x v="28"/>
      <x v="24"/>
    </i>
    <i>
      <x v="344"/>
      <x v="583"/>
      <x v="29"/>
      <x v="24"/>
    </i>
    <i>
      <x v="374"/>
      <x v="16"/>
      <x v="30"/>
      <x v="24"/>
    </i>
    <i>
      <x v="393"/>
      <x v="664"/>
      <x v="31"/>
      <x/>
    </i>
    <i>
      <x v="409"/>
      <x v="46"/>
      <x v="32"/>
      <x/>
    </i>
    <i>
      <x v="422"/>
      <x v="328"/>
      <x v="33"/>
      <x v="24"/>
    </i>
    <i>
      <x v="432"/>
      <x v="162"/>
      <x v="34"/>
      <x v="24"/>
    </i>
    <i>
      <x v="464"/>
      <x v="202"/>
      <x v="36"/>
      <x/>
    </i>
    <i r="1">
      <x v="313"/>
      <x v="35"/>
      <x/>
    </i>
    <i>
      <x v="476"/>
      <x v="515"/>
      <x v="37"/>
      <x v="24"/>
    </i>
    <i>
      <x v="497"/>
      <x v="665"/>
      <x v="38"/>
      <x/>
    </i>
    <i>
      <x v="505"/>
      <x v="110"/>
      <x v="39"/>
      <x/>
    </i>
    <i>
      <x v="519"/>
      <x v="3"/>
      <x v="40"/>
      <x/>
    </i>
    <i>
      <x v="549"/>
      <x v="7"/>
      <x v="41"/>
      <x v="24"/>
    </i>
    <i>
      <x v="564"/>
      <x v="584"/>
      <x v="42"/>
      <x v="24"/>
    </i>
    <i>
      <x v="575"/>
      <x v="666"/>
      <x v="43"/>
      <x/>
    </i>
    <i>
      <x v="584"/>
      <x v="484"/>
      <x v="44"/>
      <x/>
    </i>
    <i r="1">
      <x v="485"/>
      <x v="45"/>
      <x/>
    </i>
    <i>
      <x v="597"/>
      <x v="585"/>
      <x v="46"/>
      <x v="24"/>
    </i>
    <i>
      <x v="612"/>
      <x v="216"/>
      <x v="47"/>
      <x/>
    </i>
    <i>
      <x v="637"/>
      <x v="218"/>
      <x v="48"/>
      <x/>
    </i>
    <i>
      <x v="645"/>
      <x v="332"/>
      <x v="49"/>
      <x/>
    </i>
    <i>
      <x v="650"/>
      <x v="186"/>
      <x v="50"/>
      <x/>
    </i>
    <i>
      <x v="651"/>
      <x v="122"/>
      <x v="51"/>
      <x v="24"/>
    </i>
    <i>
      <x v="667"/>
      <x v="149"/>
      <x v="53"/>
      <x/>
    </i>
    <i r="1">
      <x v="586"/>
      <x v="52"/>
      <x/>
    </i>
    <i>
      <x v="704"/>
      <x v="271"/>
      <x v="54"/>
      <x/>
    </i>
    <i r="1">
      <x v="544"/>
      <x v="55"/>
      <x v="24"/>
    </i>
    <i>
      <x v="734"/>
      <x v="86"/>
      <x v="56"/>
      <x/>
    </i>
    <i>
      <x v="743"/>
      <x v="624"/>
      <x v="57"/>
      <x/>
    </i>
    <i>
      <x v="747"/>
      <x v="75"/>
      <x v="58"/>
      <x/>
    </i>
    <i>
      <x v="791"/>
      <x v="587"/>
      <x v="59"/>
      <x v="24"/>
    </i>
    <i>
      <x v="792"/>
      <x v="191"/>
      <x v="60"/>
      <x v="24"/>
    </i>
    <i>
      <x v="801"/>
      <x v="487"/>
      <x v="61"/>
      <x v="24"/>
    </i>
    <i>
      <x v="820"/>
      <x v="588"/>
      <x v="62"/>
      <x v="24"/>
    </i>
    <i>
      <x v="826"/>
      <x v="158"/>
      <x v="63"/>
      <x/>
    </i>
    <i>
      <x v="837"/>
      <x v="414"/>
      <x v="64"/>
      <x/>
    </i>
    <i>
      <x v="840"/>
      <x v="243"/>
      <x v="65"/>
      <x/>
    </i>
    <i>
      <x v="860"/>
      <x v="117"/>
      <x v="66"/>
      <x v="24"/>
    </i>
    <i>
      <x v="882"/>
      <x v="137"/>
      <x v="67"/>
      <x v="24"/>
    </i>
    <i>
      <x v="883"/>
      <x v="589"/>
      <x v="68"/>
      <x v="24"/>
    </i>
    <i r="1">
      <x v="590"/>
      <x v="69"/>
      <x v="24"/>
    </i>
    <i>
      <x v="885"/>
      <x v="9"/>
      <x v="70"/>
      <x v="24"/>
    </i>
    <i>
      <x v="904"/>
      <x v="139"/>
      <x v="71"/>
      <x v="24"/>
    </i>
    <i>
      <x v="914"/>
      <x v="308"/>
      <x v="72"/>
      <x/>
    </i>
    <i>
      <x v="920"/>
      <x v="30"/>
      <x v="73"/>
      <x v="24"/>
    </i>
    <i>
      <x v="948"/>
      <x v="113"/>
      <x v="74"/>
      <x v="24"/>
    </i>
    <i>
      <x v="955"/>
      <x v="667"/>
      <x v="75"/>
      <x/>
    </i>
    <i>
      <x v="999"/>
      <x v="361"/>
      <x v="76"/>
      <x v="24"/>
    </i>
    <i>
      <x v="1005"/>
      <x v="22"/>
      <x v="77"/>
      <x/>
    </i>
    <i>
      <x v="1028"/>
      <x v="224"/>
      <x v="78"/>
      <x/>
    </i>
    <i>
      <x v="1030"/>
      <x v="17"/>
      <x v="79"/>
      <x/>
    </i>
    <i>
      <x v="1032"/>
      <x v="38"/>
      <x v="80"/>
      <x v="24"/>
    </i>
    <i>
      <x v="1035"/>
      <x v="591"/>
      <x v="81"/>
      <x v="24"/>
    </i>
    <i>
      <x v="1043"/>
      <x v="58"/>
      <x v="82"/>
      <x/>
    </i>
    <i>
      <x v="1046"/>
      <x v="641"/>
      <x v="83"/>
      <x/>
    </i>
    <i>
      <x v="1065"/>
      <x v="592"/>
      <x v="84"/>
      <x/>
    </i>
    <i>
      <x v="1116"/>
      <x v="108"/>
      <x v="85"/>
      <x v="24"/>
    </i>
    <i r="1">
      <x v="116"/>
      <x v="86"/>
      <x v="24"/>
    </i>
    <i r="1">
      <x v="333"/>
      <x v="87"/>
      <x v="24"/>
    </i>
    <i>
      <x v="1145"/>
      <x v="88"/>
      <x v="89"/>
      <x/>
    </i>
    <i r="1">
      <x v="546"/>
      <x v="88"/>
      <x/>
    </i>
    <i>
      <x v="1149"/>
      <x v="593"/>
      <x v="90"/>
      <x v="24"/>
    </i>
    <i>
      <x v="1168"/>
      <x v="479"/>
      <x v="91"/>
      <x v="24"/>
    </i>
    <i>
      <x v="1177"/>
      <x v="594"/>
      <x v="92"/>
      <x v="24"/>
    </i>
    <i>
      <x v="1191"/>
      <x v="463"/>
      <x v="93"/>
      <x/>
    </i>
    <i>
      <x v="1196"/>
      <x v="464"/>
      <x v="94"/>
      <x v="24"/>
    </i>
    <i>
      <x v="1207"/>
      <x v="134"/>
      <x v="95"/>
      <x/>
    </i>
    <i>
      <x v="1235"/>
      <x v="163"/>
      <x v="96"/>
      <x/>
    </i>
    <i>
      <x v="1264"/>
      <x v="149"/>
      <x v="97"/>
      <x v="24"/>
    </i>
    <i>
      <x v="1267"/>
      <x v="237"/>
      <x v="98"/>
      <x/>
    </i>
    <i>
      <x v="1269"/>
      <x v="62"/>
      <x v="99"/>
      <x/>
    </i>
    <i>
      <x v="1271"/>
      <x v="595"/>
      <x v="100"/>
      <x v="24"/>
    </i>
    <i r="1">
      <x v="596"/>
      <x v="101"/>
      <x v="24"/>
    </i>
  </rowItems>
  <colItems count="1">
    <i/>
  </colItems>
  <pageFields count="1">
    <pageField fld="0" item="10" hier="-1"/>
  </pageFields>
  <formats count="7">
    <format dxfId="135">
      <pivotArea dataOnly="0" labelOnly="1" outline="0" fieldPosition="0">
        <references count="1">
          <reference field="1" count="0"/>
        </references>
      </pivotArea>
    </format>
    <format dxfId="134">
      <pivotArea field="2" type="button" dataOnly="0" labelOnly="1" outline="0" axis="axisRow" fieldPosition="0"/>
    </format>
    <format dxfId="133">
      <pivotArea field="3" type="button" dataOnly="0" labelOnly="1" outline="0" axis="axisRow" fieldPosition="1"/>
    </format>
    <format dxfId="132">
      <pivotArea field="1" type="button" dataOnly="0" labelOnly="1" outline="0" axis="axisRow" fieldPosition="2"/>
    </format>
    <format dxfId="131">
      <pivotArea dataOnly="0" labelOnly="1" outline="0" fieldPosition="0">
        <references count="1">
          <reference field="2" count="0"/>
        </references>
      </pivotArea>
    </format>
    <format dxfId="130">
      <pivotArea field="0" type="button" dataOnly="0" labelOnly="1" outline="0" axis="axisPage" fieldPosition="0"/>
    </format>
    <format dxfId="129">
      <pivotArea dataOnly="0" labelOnly="1" outline="0" fieldPosition="0">
        <references count="1">
          <reference field="0" count="1">
            <x v="0"/>
          </reference>
        </references>
      </pivotArea>
    </format>
  </formats>
  <pivotTableStyleInfo name="PivotStyleMedium7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600-000003000000}" name="Tableau croisé dynamique4" cacheId="0" applyNumberFormats="0" applyBorderFormats="0" applyFontFormats="0" applyPatternFormats="0" applyAlignmentFormats="0" applyWidthHeightFormats="1" dataCaption="Valeurs" updatedVersion="8" minRefreshableVersion="3" rowGrandTotals="0" colGrandTotals="0" itemPrintTitles="1" createdVersion="5" indent="0" compact="0" compactData="0" multipleFieldFilters="0">
  <location ref="AC18:AF144" firstHeaderRow="1" firstDataRow="1" firstDataCol="4" rowPageCount="1" colPageCount="1"/>
  <pivotFields count="7">
    <pivotField axis="axisPage" compact="0" outline="0" showAll="0">
      <items count="37">
        <item x="0"/>
        <item x="1"/>
        <item x="2"/>
        <item m="1" x="34"/>
        <item x="3"/>
        <item x="4"/>
        <item x="5"/>
        <item x="6"/>
        <item m="1" x="29"/>
        <item x="7"/>
        <item x="8"/>
        <item m="1" x="27"/>
        <item x="10"/>
        <item m="1" x="23"/>
        <item x="11"/>
        <item m="1" x="35"/>
        <item x="12"/>
        <item x="13"/>
        <item x="15"/>
        <item m="1" x="31"/>
        <item m="1" x="21"/>
        <item x="16"/>
        <item x="17"/>
        <item x="18"/>
        <item x="19"/>
        <item m="1" x="24"/>
        <item m="1" x="28"/>
        <item x="9"/>
        <item m="1" x="25"/>
        <item m="1" x="30"/>
        <item x="14"/>
        <item m="1" x="26"/>
        <item m="1" x="32"/>
        <item m="1" x="22"/>
        <item m="1" x="20"/>
        <item m="1" x="33"/>
        <item t="default"/>
      </items>
    </pivotField>
    <pivotField name="Code" axis="axisRow" compact="0" outline="0" showAll="0" defaultSubtotal="0">
      <items count="12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</items>
    </pivotField>
    <pivotField axis="axisRow" compact="0" outline="0" showAll="0" sortType="ascending" defaultSubtotal="0">
      <items count="1276">
        <item x="29"/>
        <item m="1" x="728"/>
        <item x="392"/>
        <item x="393"/>
        <item m="1" x="807"/>
        <item m="1" x="624"/>
        <item x="394"/>
        <item m="1" x="596"/>
        <item x="327"/>
        <item x="528"/>
        <item x="328"/>
        <item m="1" x="832"/>
        <item m="1" x="1184"/>
        <item x="74"/>
        <item m="1" x="676"/>
        <item m="1" x="867"/>
        <item m="1" x="1015"/>
        <item x="329"/>
        <item x="132"/>
        <item x="182"/>
        <item x="60"/>
        <item x="61"/>
        <item m="1" x="1089"/>
        <item m="1" x="658"/>
        <item m="1" x="1217"/>
        <item m="1" x="1039"/>
        <item x="330"/>
        <item m="1" x="721"/>
        <item m="1" x="606"/>
        <item m="1" x="828"/>
        <item m="1" x="688"/>
        <item m="1" x="712"/>
        <item x="0"/>
        <item x="490"/>
        <item m="1" x="1064"/>
        <item m="1" x="918"/>
        <item x="331"/>
        <item m="1" x="611"/>
        <item m="1" x="1035"/>
        <item x="183"/>
        <item m="1" x="975"/>
        <item m="1" x="587"/>
        <item x="133"/>
        <item m="1" x="1222"/>
        <item m="1" x="1066"/>
        <item m="1" x="1025"/>
        <item m="1" x="1200"/>
        <item x="529"/>
        <item m="1" x="945"/>
        <item m="1" x="1271"/>
        <item x="1"/>
        <item x="30"/>
        <item m="1" x="1265"/>
        <item m="1" x="902"/>
        <item x="395"/>
        <item x="184"/>
        <item m="1" x="776"/>
        <item x="75"/>
        <item m="1" x="1017"/>
        <item x="31"/>
        <item m="1" x="1247"/>
        <item m="1" x="744"/>
        <item x="185"/>
        <item m="1" x="731"/>
        <item m="1" x="1258"/>
        <item x="186"/>
        <item m="1" x="737"/>
        <item x="269"/>
        <item x="134"/>
        <item x="332"/>
        <item m="1" x="1257"/>
        <item m="1" x="991"/>
        <item x="289"/>
        <item x="76"/>
        <item m="1" x="641"/>
        <item m="1" x="915"/>
        <item m="1" x="1109"/>
        <item x="187"/>
        <item m="1" x="906"/>
        <item m="1" x="746"/>
        <item m="1" x="690"/>
        <item m="1" x="933"/>
        <item m="1" x="1191"/>
        <item m="1" x="1250"/>
        <item m="1" x="1049"/>
        <item x="114"/>
        <item x="135"/>
        <item x="188"/>
        <item m="1" x="582"/>
        <item x="136"/>
        <item x="137"/>
        <item m="1" x="726"/>
        <item x="32"/>
        <item m="1" x="597"/>
        <item m="1" x="1220"/>
        <item x="270"/>
        <item m="1" x="864"/>
        <item m="1" x="591"/>
        <item x="290"/>
        <item m="1" x="940"/>
        <item m="1" x="999"/>
        <item x="491"/>
        <item m="1" x="905"/>
        <item m="1" x="800"/>
        <item m="1" x="1268"/>
        <item m="1" x="586"/>
        <item x="189"/>
        <item m="1" x="1102"/>
        <item x="554"/>
        <item x="396"/>
        <item m="1" x="1193"/>
        <item x="190"/>
        <item x="530"/>
        <item m="1" x="769"/>
        <item x="379"/>
        <item m="1" x="1036"/>
        <item x="304"/>
        <item x="271"/>
        <item x="397"/>
        <item m="1" x="735"/>
        <item x="555"/>
        <item m="1" x="931"/>
        <item m="1" x="794"/>
        <item m="1" x="1196"/>
        <item m="1" x="964"/>
        <item m="1" x="1114"/>
        <item x="2"/>
        <item x="77"/>
        <item m="1" x="1261"/>
        <item m="1" x="801"/>
        <item x="398"/>
        <item m="1" x="967"/>
        <item m="1" x="752"/>
        <item x="115"/>
        <item m="1" x="812"/>
        <item m="1" x="956"/>
        <item x="191"/>
        <item m="1" x="747"/>
        <item m="1" x="652"/>
        <item x="399"/>
        <item m="1" x="969"/>
        <item m="1" x="831"/>
        <item m="1" x="874"/>
        <item x="192"/>
        <item x="138"/>
        <item m="1" x="1221"/>
        <item m="1" x="1073"/>
        <item m="1" x="1167"/>
        <item x="400"/>
        <item x="531"/>
        <item m="1" x="1147"/>
        <item x="532"/>
        <item m="1" x="1272"/>
        <item m="1" x="1143"/>
        <item x="401"/>
        <item m="1" x="1240"/>
        <item x="50"/>
        <item x="556"/>
        <item x="193"/>
        <item x="139"/>
        <item x="140"/>
        <item x="333"/>
        <item m="1" x="1238"/>
        <item m="1" x="910"/>
        <item x="380"/>
        <item m="1" x="979"/>
        <item x="402"/>
        <item m="1" x="1010"/>
        <item x="33"/>
        <item x="194"/>
        <item m="1" x="893"/>
        <item m="1" x="818"/>
        <item x="141"/>
        <item m="1" x="1224"/>
        <item m="1" x="643"/>
        <item x="79"/>
        <item x="116"/>
        <item m="1" x="833"/>
        <item m="1" x="725"/>
        <item m="1" x="1013"/>
        <item x="195"/>
        <item x="78"/>
        <item x="334"/>
        <item m="1" x="856"/>
        <item x="80"/>
        <item m="1" x="1177"/>
        <item x="492"/>
        <item m="1" x="774"/>
        <item m="1" x="1045"/>
        <item m="1" x="748"/>
        <item x="142"/>
        <item m="1" x="613"/>
        <item m="1" x="736"/>
        <item x="493"/>
        <item m="1" x="694"/>
        <item x="403"/>
        <item m="1" x="1087"/>
        <item m="1" x="1058"/>
        <item x="335"/>
        <item x="557"/>
        <item m="1" x="1118"/>
        <item x="81"/>
        <item m="1" x="1074"/>
        <item x="494"/>
        <item m="1" x="599"/>
        <item m="1" x="782"/>
        <item x="495"/>
        <item x="3"/>
        <item m="1" x="1235"/>
        <item x="196"/>
        <item x="404"/>
        <item m="1" x="604"/>
        <item x="197"/>
        <item m="1" x="1117"/>
        <item m="1" x="1207"/>
        <item x="198"/>
        <item x="405"/>
        <item m="1" x="896"/>
        <item m="1" x="1138"/>
        <item x="4"/>
        <item x="496"/>
        <item x="406"/>
        <item m="1" x="1239"/>
        <item m="1" x="926"/>
        <item m="1" x="1245"/>
        <item m="1" x="734"/>
        <item x="336"/>
        <item m="1" x="777"/>
        <item x="82"/>
        <item x="272"/>
        <item x="407"/>
        <item x="337"/>
        <item x="408"/>
        <item m="1" x="1182"/>
        <item m="1" x="1267"/>
        <item m="1" x="803"/>
        <item x="409"/>
        <item m="1" x="651"/>
        <item m="1" x="1078"/>
        <item m="1" x="745"/>
        <item m="1" x="988"/>
        <item x="558"/>
        <item x="559"/>
        <item x="199"/>
        <item m="1" x="1243"/>
        <item x="533"/>
        <item x="273"/>
        <item x="305"/>
        <item x="338"/>
        <item m="1" x="809"/>
        <item m="1" x="852"/>
        <item x="200"/>
        <item m="1" x="894"/>
        <item x="410"/>
        <item x="497"/>
        <item m="1" x="670"/>
        <item m="1" x="850"/>
        <item x="339"/>
        <item m="1" x="1002"/>
        <item x="83"/>
        <item m="1" x="995"/>
        <item x="84"/>
        <item m="1" x="572"/>
        <item x="411"/>
        <item m="1" x="1091"/>
        <item m="1" x="878"/>
        <item m="1" x="573"/>
        <item m="1" x="862"/>
        <item x="201"/>
        <item x="498"/>
        <item x="499"/>
        <item m="1" x="663"/>
        <item m="1" x="772"/>
        <item x="117"/>
        <item x="85"/>
        <item x="143"/>
        <item x="412"/>
        <item m="1" x="702"/>
        <item m="1" x="622"/>
        <item x="534"/>
        <item m="1" x="704"/>
        <item x="202"/>
        <item x="51"/>
        <item x="203"/>
        <item m="1" x="843"/>
        <item m="1" x="684"/>
        <item x="118"/>
        <item m="1" x="879"/>
        <item m="1" x="863"/>
        <item x="413"/>
        <item x="414"/>
        <item x="204"/>
        <item x="306"/>
        <item x="205"/>
        <item x="415"/>
        <item m="1" x="1273"/>
        <item m="1" x="1260"/>
        <item x="34"/>
        <item m="1" x="1033"/>
        <item m="1" x="1131"/>
        <item x="340"/>
        <item x="560"/>
        <item m="1" x="827"/>
        <item m="1" x="1029"/>
        <item m="1" x="798"/>
        <item m="1" x="1166"/>
        <item x="144"/>
        <item x="307"/>
        <item x="86"/>
        <item x="5"/>
        <item m="1" x="1216"/>
        <item m="1" x="1000"/>
        <item x="145"/>
        <item m="1" x="787"/>
        <item m="1" x="817"/>
        <item x="308"/>
        <item x="535"/>
        <item m="1" x="1059"/>
        <item x="341"/>
        <item m="1" x="965"/>
        <item x="146"/>
        <item m="1" x="632"/>
        <item x="206"/>
        <item m="1" x="783"/>
        <item m="1" x="1142"/>
        <item m="1" x="1038"/>
        <item x="500"/>
        <item x="416"/>
        <item x="147"/>
        <item m="1" x="1146"/>
        <item m="1" x="1128"/>
        <item x="501"/>
        <item x="148"/>
        <item m="1" x="848"/>
        <item m="1" x="701"/>
        <item m="1" x="784"/>
        <item x="342"/>
        <item x="309"/>
        <item m="1" x="814"/>
        <item x="87"/>
        <item m="1" x="619"/>
        <item m="1" x="1202"/>
        <item x="310"/>
        <item m="1" x="709"/>
        <item x="207"/>
        <item m="1" x="826"/>
        <item x="149"/>
        <item x="62"/>
        <item m="1" x="1269"/>
        <item m="1" x="1153"/>
        <item m="1" x="640"/>
        <item x="417"/>
        <item m="1" x="1229"/>
        <item m="1" x="829"/>
        <item m="1" x="683"/>
        <item m="1" x="696"/>
        <item m="1" x="936"/>
        <item x="6"/>
        <item m="1" x="710"/>
        <item x="418"/>
        <item m="1" x="900"/>
        <item x="291"/>
        <item x="419"/>
        <item m="1" x="1194"/>
        <item m="1" x="1180"/>
        <item m="1" x="779"/>
        <item m="1" x="853"/>
        <item m="1" x="920"/>
        <item x="311"/>
        <item m="1" x="1082"/>
        <item m="1" x="1168"/>
        <item m="1" x="820"/>
        <item x="274"/>
        <item x="63"/>
        <item x="208"/>
        <item m="1" x="1236"/>
        <item m="1" x="1003"/>
        <item x="343"/>
        <item m="1" x="739"/>
        <item m="1" x="1226"/>
        <item m="1" x="1174"/>
        <item x="119"/>
        <item m="1" x="579"/>
        <item m="1" x="1046"/>
        <item m="1" x="780"/>
        <item x="275"/>
        <item m="1" x="625"/>
        <item m="1" x="708"/>
        <item m="1" x="768"/>
        <item m="1" x="1060"/>
        <item x="420"/>
        <item m="1" x="742"/>
        <item m="1" x="1043"/>
        <item x="209"/>
        <item x="383"/>
        <item x="35"/>
        <item x="276"/>
        <item m="1" x="1088"/>
        <item m="1" x="1136"/>
        <item x="52"/>
        <item m="1" x="854"/>
        <item x="536"/>
        <item x="88"/>
        <item x="421"/>
        <item m="1" x="759"/>
        <item x="64"/>
        <item x="150"/>
        <item m="1" x="903"/>
        <item x="344"/>
        <item x="210"/>
        <item m="1" x="687"/>
        <item m="1" x="1241"/>
        <item x="502"/>
        <item x="422"/>
        <item m="1" x="589"/>
        <item m="1" x="1005"/>
        <item m="1" x="677"/>
        <item x="312"/>
        <item x="89"/>
        <item x="151"/>
        <item x="7"/>
        <item x="503"/>
        <item x="211"/>
        <item m="1" x="718"/>
        <item x="53"/>
        <item x="504"/>
        <item x="313"/>
        <item x="345"/>
        <item x="537"/>
        <item m="1" x="626"/>
        <item x="295"/>
        <item m="1" x="1040"/>
        <item x="212"/>
        <item m="1" x="1176"/>
        <item m="1" x="664"/>
        <item m="1" x="1037"/>
        <item m="1" x="966"/>
        <item m="1" x="593"/>
        <item m="1" x="707"/>
        <item x="120"/>
        <item m="1" x="858"/>
        <item m="1" x="976"/>
        <item m="1" x="984"/>
        <item m="1" x="717"/>
        <item x="36"/>
        <item m="1" x="1099"/>
        <item m="1" x="635"/>
        <item x="152"/>
        <item m="1" x="618"/>
        <item m="1" x="1018"/>
        <item x="538"/>
        <item x="346"/>
        <item m="1" x="741"/>
        <item m="1" x="1135"/>
        <item x="8"/>
        <item m="1" x="799"/>
        <item x="423"/>
        <item m="1" x="928"/>
        <item x="347"/>
        <item m="1" x="1081"/>
        <item m="1" x="888"/>
        <item x="153"/>
        <item x="561"/>
        <item x="65"/>
        <item x="213"/>
        <item m="1" x="1092"/>
        <item m="1" x="1215"/>
        <item x="9"/>
        <item m="1" x="729"/>
        <item x="539"/>
        <item m="1" x="1106"/>
        <item m="1" x="1071"/>
        <item m="1" x="598"/>
        <item x="562"/>
        <item m="1" x="1231"/>
        <item x="296"/>
        <item x="214"/>
        <item x="424"/>
        <item x="154"/>
        <item x="104"/>
        <item x="297"/>
        <item x="37"/>
        <item x="540"/>
        <item m="1" x="790"/>
        <item x="541"/>
        <item m="1" x="1129"/>
        <item m="1" x="682"/>
        <item m="1" x="657"/>
        <item x="425"/>
        <item x="348"/>
        <item m="1" x="1079"/>
        <item x="349"/>
        <item x="426"/>
        <item m="1" x="882"/>
        <item m="1" x="990"/>
        <item x="10"/>
        <item m="1" x="892"/>
        <item x="215"/>
        <item m="1" x="1218"/>
        <item m="1" x="1067"/>
        <item m="1" x="660"/>
        <item m="1" x="1266"/>
        <item m="1" x="1024"/>
        <item x="90"/>
        <item m="1" x="1009"/>
        <item x="216"/>
        <item x="427"/>
        <item m="1" x="608"/>
        <item x="298"/>
        <item m="1" x="937"/>
        <item m="1" x="1233"/>
        <item m="1" x="996"/>
        <item m="1" x="620"/>
        <item x="155"/>
        <item x="156"/>
        <item m="1" x="1006"/>
        <item m="1" x="642"/>
        <item x="505"/>
        <item x="428"/>
        <item x="217"/>
        <item x="350"/>
        <item x="429"/>
        <item x="542"/>
        <item m="1" x="959"/>
        <item m="1" x="1165"/>
        <item m="1" x="1242"/>
        <item m="1" x="1205"/>
        <item x="506"/>
        <item m="1" x="1032"/>
        <item x="430"/>
        <item m="1" x="791"/>
        <item m="1" x="1203"/>
        <item m="1" x="912"/>
        <item m="1" x="904"/>
        <item m="1" x="584"/>
        <item x="431"/>
        <item m="1" x="1171"/>
        <item x="432"/>
        <item m="1" x="1075"/>
        <item m="1" x="1007"/>
        <item m="1" x="1069"/>
        <item m="1" x="1172"/>
        <item m="1" x="1126"/>
        <item m="1" x="1263"/>
        <item x="433"/>
        <item x="563"/>
        <item m="1" x="716"/>
        <item x="434"/>
        <item m="1" x="1048"/>
        <item x="218"/>
        <item x="435"/>
        <item m="1" x="1251"/>
        <item m="1" x="1107"/>
        <item x="38"/>
        <item x="351"/>
        <item x="507"/>
        <item x="436"/>
        <item m="1" x="1225"/>
        <item m="1" x="1016"/>
        <item m="1" x="602"/>
        <item m="1" x="1098"/>
        <item x="508"/>
        <item x="437"/>
        <item m="1" x="1076"/>
        <item x="219"/>
        <item x="438"/>
        <item x="91"/>
        <item m="1" x="713"/>
        <item m="1" x="581"/>
        <item m="1" x="592"/>
        <item m="1" x="1270"/>
        <item m="1" x="1274"/>
        <item m="1" x="607"/>
        <item m="1" x="595"/>
        <item m="1" x="986"/>
        <item x="220"/>
        <item m="1" x="1112"/>
        <item x="352"/>
        <item x="353"/>
        <item m="1" x="1152"/>
        <item m="1" x="837"/>
        <item x="157"/>
        <item m="1" x="1121"/>
        <item m="1" x="603"/>
        <item x="221"/>
        <item m="1" x="898"/>
        <item m="1" x="755"/>
        <item x="384"/>
        <item x="66"/>
        <item x="121"/>
        <item x="158"/>
        <item x="564"/>
        <item m="1" x="846"/>
        <item m="1" x="808"/>
        <item x="565"/>
        <item x="439"/>
        <item m="1" x="1230"/>
        <item x="222"/>
        <item m="1" x="1259"/>
        <item x="314"/>
        <item m="1" x="730"/>
        <item m="1" x="981"/>
        <item m="1" x="938"/>
        <item x="440"/>
        <item m="1" x="781"/>
        <item x="441"/>
        <item x="39"/>
        <item x="122"/>
        <item m="1" x="861"/>
        <item m="1" x="698"/>
        <item x="123"/>
        <item m="1" x="1169"/>
        <item x="223"/>
        <item m="1" x="1085"/>
        <item m="1" x="1162"/>
        <item m="1" x="655"/>
        <item x="442"/>
        <item m="1" x="749"/>
        <item m="1" x="633"/>
        <item x="105"/>
        <item x="543"/>
        <item m="1" x="1170"/>
        <item m="1" x="875"/>
        <item x="159"/>
        <item x="160"/>
        <item m="1" x="1023"/>
        <item x="124"/>
        <item x="444"/>
        <item x="443"/>
        <item m="1" x="1264"/>
        <item m="1" x="1204"/>
        <item m="1" x="727"/>
        <item m="1" x="764"/>
        <item x="445"/>
        <item m="1" x="667"/>
        <item m="1" x="941"/>
        <item m="1" x="871"/>
        <item x="224"/>
        <item m="1" x="917"/>
        <item m="1" x="1141"/>
        <item m="1" x="750"/>
        <item m="1" x="1111"/>
        <item m="1" x="1163"/>
        <item x="509"/>
        <item m="1" x="1012"/>
        <item x="225"/>
        <item m="1" x="810"/>
        <item m="1" x="949"/>
        <item m="1" x="958"/>
        <item x="299"/>
        <item x="226"/>
        <item x="227"/>
        <item m="1" x="1026"/>
        <item m="1" x="1070"/>
        <item m="1" x="786"/>
        <item x="277"/>
        <item m="1" x="1145"/>
        <item m="1" x="1124"/>
        <item m="1" x="623"/>
        <item m="1" x="962"/>
        <item m="1" x="594"/>
        <item m="1" x="913"/>
        <item x="510"/>
        <item m="1" x="1192"/>
        <item x="446"/>
        <item m="1" x="1093"/>
        <item m="1" x="673"/>
        <item x="228"/>
        <item x="11"/>
        <item m="1" x="968"/>
        <item x="354"/>
        <item m="1" x="1181"/>
        <item x="40"/>
        <item m="1" x="1186"/>
        <item x="447"/>
        <item m="1" x="575"/>
        <item x="125"/>
        <item x="67"/>
        <item m="1" x="761"/>
        <item x="544"/>
        <item m="1" x="1077"/>
        <item m="1" x="907"/>
        <item x="161"/>
        <item x="315"/>
        <item m="1" x="877"/>
        <item x="316"/>
        <item m="1" x="1157"/>
        <item x="92"/>
        <item m="1" x="895"/>
        <item m="1" x="802"/>
        <item x="355"/>
        <item m="1" x="1042"/>
        <item m="1" x="1080"/>
        <item m="1" x="946"/>
        <item x="448"/>
        <item m="1" x="672"/>
        <item m="1" x="574"/>
        <item m="1" x="1132"/>
        <item m="1" x="839"/>
        <item m="1" x="1052"/>
        <item x="385"/>
        <item x="68"/>
        <item m="1" x="1125"/>
        <item m="1" x="648"/>
        <item x="162"/>
        <item m="1" x="1211"/>
        <item m="1" x="703"/>
        <item m="1" x="838"/>
        <item m="1" x="778"/>
        <item m="1" x="970"/>
        <item m="1" x="884"/>
        <item m="1" x="785"/>
        <item m="1" x="578"/>
        <item m="1" x="796"/>
        <item x="356"/>
        <item m="1" x="1228"/>
        <item x="69"/>
        <item m="1" x="691"/>
        <item m="1" x="1090"/>
        <item x="449"/>
        <item x="357"/>
        <item m="1" x="792"/>
        <item x="511"/>
        <item m="1" x="686"/>
        <item x="300"/>
        <item x="450"/>
        <item x="566"/>
        <item x="358"/>
        <item x="70"/>
        <item m="1" x="1001"/>
        <item x="451"/>
        <item m="1" x="1115"/>
        <item m="1" x="723"/>
        <item x="41"/>
        <item x="93"/>
        <item m="1" x="789"/>
        <item m="1" x="614"/>
        <item x="163"/>
        <item x="359"/>
        <item m="1" x="997"/>
        <item x="452"/>
        <item x="126"/>
        <item m="1" x="866"/>
        <item x="229"/>
        <item m="1" x="1195"/>
        <item m="1" x="743"/>
        <item m="1" x="766"/>
        <item x="230"/>
        <item x="292"/>
        <item m="1" x="860"/>
        <item m="1" x="678"/>
        <item x="360"/>
        <item m="1" x="1030"/>
        <item x="278"/>
        <item m="1" x="973"/>
        <item m="1" x="1083"/>
        <item m="1" x="897"/>
        <item m="1" x="1178"/>
        <item x="42"/>
        <item m="1" x="610"/>
        <item m="1" x="955"/>
        <item m="1" x="1086"/>
        <item m="1" x="925"/>
        <item x="545"/>
        <item x="453"/>
        <item x="454"/>
        <item x="455"/>
        <item m="1" x="1144"/>
        <item m="1" x="628"/>
        <item m="1" x="671"/>
        <item x="94"/>
        <item m="1" x="1051"/>
        <item m="1" x="1237"/>
        <item x="12"/>
        <item x="546"/>
        <item m="1" x="775"/>
        <item x="456"/>
        <item m="1" x="1148"/>
        <item x="106"/>
        <item m="1" x="758"/>
        <item x="279"/>
        <item x="301"/>
        <item x="361"/>
        <item m="1" x="714"/>
        <item m="1" x="1101"/>
        <item m="1" x="974"/>
        <item x="457"/>
        <item m="1" x="627"/>
        <item x="164"/>
        <item m="1" x="629"/>
        <item x="458"/>
        <item x="231"/>
        <item x="232"/>
        <item x="13"/>
        <item m="1" x="1011"/>
        <item x="459"/>
        <item m="1" x="821"/>
        <item m="1" x="1123"/>
        <item x="280"/>
        <item m="1" x="908"/>
        <item m="1" x="1113"/>
        <item x="233"/>
        <item m="1" x="985"/>
        <item x="165"/>
        <item x="95"/>
        <item x="166"/>
        <item m="1" x="1199"/>
        <item m="1" x="1232"/>
        <item m="1" x="661"/>
        <item x="362"/>
        <item x="14"/>
        <item m="1" x="762"/>
        <item m="1" x="637"/>
        <item m="1" x="1275"/>
        <item x="460"/>
        <item m="1" x="806"/>
        <item x="512"/>
        <item x="386"/>
        <item m="1" x="921"/>
        <item x="107"/>
        <item x="234"/>
        <item m="1" x="711"/>
        <item m="1" x="1050"/>
        <item m="1" x="1095"/>
        <item m="1" x="816"/>
        <item x="363"/>
        <item x="235"/>
        <item m="1" x="638"/>
        <item x="387"/>
        <item m="1" x="1054"/>
        <item m="1" x="1014"/>
        <item m="1" x="1096"/>
        <item m="1" x="617"/>
        <item x="364"/>
        <item x="43"/>
        <item x="461"/>
        <item x="293"/>
        <item x="236"/>
        <item x="15"/>
        <item m="1" x="909"/>
        <item x="237"/>
        <item x="513"/>
        <item m="1" x="765"/>
        <item m="1" x="771"/>
        <item x="388"/>
        <item m="1" x="639"/>
        <item x="365"/>
        <item m="1" x="1209"/>
        <item x="462"/>
        <item m="1" x="577"/>
        <item x="54"/>
        <item x="55"/>
        <item x="317"/>
        <item x="463"/>
        <item m="1" x="630"/>
        <item m="1" x="844"/>
        <item x="167"/>
        <item m="1" x="693"/>
        <item m="1" x="654"/>
        <item m="1" x="922"/>
        <item x="238"/>
        <item m="1" x="1022"/>
        <item m="1" x="692"/>
        <item x="514"/>
        <item m="1" x="1256"/>
        <item x="515"/>
        <item x="127"/>
        <item m="1" x="1156"/>
        <item m="1" x="1262"/>
        <item m="1" x="740"/>
        <item m="1" x="733"/>
        <item m="1" x="841"/>
        <item x="96"/>
        <item m="1" x="1103"/>
        <item x="168"/>
        <item x="169"/>
        <item m="1" x="1061"/>
        <item x="71"/>
        <item x="108"/>
        <item x="281"/>
        <item m="1" x="1189"/>
        <item m="1" x="1183"/>
        <item x="239"/>
        <item x="240"/>
        <item m="1" x="822"/>
        <item x="241"/>
        <item m="1" x="605"/>
        <item x="318"/>
        <item m="1" x="1062"/>
        <item m="1" x="724"/>
        <item x="16"/>
        <item x="319"/>
        <item m="1" x="834"/>
        <item m="1" x="1031"/>
        <item m="1" x="1004"/>
        <item m="1" x="916"/>
        <item m="1" x="621"/>
        <item x="464"/>
        <item m="1" x="649"/>
        <item x="282"/>
        <item m="1" x="924"/>
        <item m="1" x="868"/>
        <item m="1" x="656"/>
        <item m="1" x="804"/>
        <item x="242"/>
        <item m="1" x="1008"/>
        <item x="56"/>
        <item x="465"/>
        <item x="466"/>
        <item m="1" x="1159"/>
        <item m="1" x="1185"/>
        <item m="1" x="1253"/>
        <item m="1" x="720"/>
        <item m="1" x="1140"/>
        <item x="243"/>
        <item m="1" x="767"/>
        <item m="1" x="689"/>
        <item m="1" x="751"/>
        <item x="467"/>
        <item m="1" x="1210"/>
        <item x="244"/>
        <item m="1" x="1019"/>
        <item m="1" x="873"/>
        <item x="17"/>
        <item x="567"/>
        <item m="1" x="1137"/>
        <item m="1" x="697"/>
        <item x="516"/>
        <item x="97"/>
        <item m="1" x="1097"/>
        <item x="547"/>
        <item m="1" x="993"/>
        <item m="1" x="600"/>
        <item x="302"/>
        <item x="517"/>
        <item m="1" x="738"/>
        <item x="468"/>
        <item m="1" x="675"/>
        <item x="44"/>
        <item x="469"/>
        <item m="1" x="1255"/>
        <item m="1" x="819"/>
        <item m="1" x="1161"/>
        <item m="1" x="872"/>
        <item m="1" x="1244"/>
        <item m="1" x="944"/>
        <item m="1" x="601"/>
        <item x="470"/>
        <item x="245"/>
        <item x="98"/>
        <item m="1" x="891"/>
        <item x="170"/>
        <item m="1" x="1034"/>
        <item m="1" x="1056"/>
        <item m="1" x="756"/>
        <item x="246"/>
        <item x="171"/>
        <item m="1" x="935"/>
        <item m="1" x="1044"/>
        <item x="548"/>
        <item m="1" x="615"/>
        <item m="1" x="1190"/>
        <item m="1" x="616"/>
        <item x="72"/>
        <item m="1" x="1055"/>
        <item m="1" x="870"/>
        <item m="1" x="932"/>
        <item x="109"/>
        <item m="1" x="1208"/>
        <item m="1" x="927"/>
        <item x="99"/>
        <item m="1" x="883"/>
        <item x="471"/>
        <item x="549"/>
        <item m="1" x="957"/>
        <item m="1" x="994"/>
        <item m="1" x="1127"/>
        <item m="1" x="700"/>
        <item m="1" x="1100"/>
        <item m="1" x="590"/>
        <item m="1" x="1164"/>
        <item m="1" x="943"/>
        <item m="1" x="980"/>
        <item x="366"/>
        <item m="1" x="849"/>
        <item m="1" x="971"/>
        <item x="100"/>
        <item m="1" x="1133"/>
        <item m="1" x="645"/>
        <item m="1" x="1179"/>
        <item m="1" x="1094"/>
        <item x="128"/>
        <item m="1" x="773"/>
        <item x="367"/>
        <item m="1" x="876"/>
        <item m="1" x="881"/>
        <item x="101"/>
        <item m="1" x="942"/>
        <item m="1" x="952"/>
        <item x="247"/>
        <item m="1" x="899"/>
        <item m="1" x="1198"/>
        <item m="1" x="760"/>
        <item m="1" x="953"/>
        <item x="389"/>
        <item x="248"/>
        <item m="1" x="1139"/>
        <item x="390"/>
        <item m="1" x="989"/>
        <item m="1" x="865"/>
        <item m="1" x="1084"/>
        <item m="1" x="836"/>
        <item x="172"/>
        <item m="1" x="919"/>
        <item x="283"/>
        <item x="45"/>
        <item x="173"/>
        <item x="518"/>
        <item x="18"/>
        <item m="1" x="732"/>
        <item x="294"/>
        <item m="1" x="1213"/>
        <item m="1" x="1175"/>
        <item m="1" x="1116"/>
        <item x="102"/>
        <item x="550"/>
        <item m="1" x="612"/>
        <item x="568"/>
        <item x="249"/>
        <item x="174"/>
        <item x="250"/>
        <item m="1" x="788"/>
        <item x="251"/>
        <item x="472"/>
        <item m="1" x="977"/>
        <item x="252"/>
        <item m="1" x="793"/>
        <item x="391"/>
        <item m="1" x="757"/>
        <item m="1" x="813"/>
        <item x="129"/>
        <item m="1" x="1021"/>
        <item m="1" x="583"/>
        <item x="253"/>
        <item m="1" x="1254"/>
        <item m="1" x="1149"/>
        <item x="254"/>
        <item x="303"/>
        <item x="368"/>
        <item m="1" x="911"/>
        <item m="1" x="1108"/>
        <item x="551"/>
        <item m="1" x="1187"/>
        <item m="1" x="998"/>
        <item m="1" x="1201"/>
        <item m="1" x="669"/>
        <item x="46"/>
        <item x="519"/>
        <item m="1" x="823"/>
        <item x="369"/>
        <item m="1" x="930"/>
        <item m="1" x="1150"/>
        <item x="552"/>
        <item x="370"/>
        <item m="1" x="923"/>
        <item x="255"/>
        <item m="1" x="1223"/>
        <item m="1" x="887"/>
        <item m="1" x="631"/>
        <item m="1" x="653"/>
        <item m="1" x="1206"/>
        <item x="381"/>
        <item m="1" x="1197"/>
        <item m="1" x="859"/>
        <item x="473"/>
        <item m="1" x="699"/>
        <item m="1" x="947"/>
        <item x="284"/>
        <item x="520"/>
        <item x="521"/>
        <item x="474"/>
        <item m="1" x="992"/>
        <item x="285"/>
        <item m="1" x="1154"/>
        <item m="1" x="929"/>
        <item m="1" x="1188"/>
        <item m="1" x="705"/>
        <item x="175"/>
        <item m="1" x="665"/>
        <item x="320"/>
        <item m="1" x="679"/>
        <item x="321"/>
        <item m="1" x="668"/>
        <item m="1" x="650"/>
        <item x="475"/>
        <item x="476"/>
        <item x="477"/>
        <item x="57"/>
        <item x="19"/>
        <item m="1" x="825"/>
        <item m="1" x="1249"/>
        <item m="1" x="880"/>
        <item m="1" x="1027"/>
        <item m="1" x="719"/>
        <item m="1" x="588"/>
        <item m="1" x="1130"/>
        <item m="1" x="1212"/>
        <item m="1" x="634"/>
        <item m="1" x="842"/>
        <item m="1" x="1214"/>
        <item m="1" x="1219"/>
        <item x="322"/>
        <item m="1" x="763"/>
        <item m="1" x="889"/>
        <item x="176"/>
        <item x="47"/>
        <item x="256"/>
        <item m="1" x="1248"/>
        <item x="522"/>
        <item x="478"/>
        <item x="371"/>
        <item x="569"/>
        <item x="178"/>
        <item x="179"/>
        <item m="1" x="722"/>
        <item x="323"/>
        <item x="180"/>
        <item x="110"/>
        <item m="1" x="840"/>
        <item x="479"/>
        <item m="1" x="1158"/>
        <item x="177"/>
        <item m="1" x="972"/>
        <item x="20"/>
        <item x="286"/>
        <item m="1" x="680"/>
        <item x="21"/>
        <item x="480"/>
        <item m="1" x="982"/>
        <item m="1" x="647"/>
        <item m="1" x="963"/>
        <item m="1" x="576"/>
        <item m="1" x="1246"/>
        <item x="481"/>
        <item x="372"/>
        <item x="257"/>
        <item x="103"/>
        <item x="570"/>
        <item x="373"/>
        <item x="258"/>
        <item m="1" x="685"/>
        <item m="1" x="914"/>
        <item m="1" x="674"/>
        <item x="22"/>
        <item m="1" x="1041"/>
        <item m="1" x="754"/>
        <item x="482"/>
        <item m="1" x="830"/>
        <item x="111"/>
        <item x="23"/>
        <item m="1" x="835"/>
        <item m="1" x="646"/>
        <item m="1" x="666"/>
        <item x="130"/>
        <item m="1" x="1047"/>
        <item m="1" x="706"/>
        <item m="1" x="934"/>
        <item m="1" x="695"/>
        <item x="259"/>
        <item m="1" x="1065"/>
        <item x="73"/>
        <item m="1" x="890"/>
        <item x="523"/>
        <item m="1" x="1063"/>
        <item m="1" x="1155"/>
        <item m="1" x="1119"/>
        <item x="374"/>
        <item x="260"/>
        <item x="131"/>
        <item x="483"/>
        <item m="1" x="805"/>
        <item m="1" x="811"/>
        <item m="1" x="1234"/>
        <item x="524"/>
        <item m="1" x="857"/>
        <item x="324"/>
        <item m="1" x="1134"/>
        <item x="325"/>
        <item m="1" x="1053"/>
        <item x="571"/>
        <item m="1" x="1105"/>
        <item x="261"/>
        <item m="1" x="753"/>
        <item x="553"/>
        <item x="24"/>
        <item m="1" x="1151"/>
        <item x="262"/>
        <item x="25"/>
        <item m="1" x="847"/>
        <item m="1" x="795"/>
        <item m="1" x="824"/>
        <item m="1" x="960"/>
        <item x="112"/>
        <item m="1" x="609"/>
        <item x="525"/>
        <item m="1" x="851"/>
        <item m="1" x="1160"/>
        <item x="263"/>
        <item x="326"/>
        <item x="48"/>
        <item m="1" x="951"/>
        <item m="1" x="1020"/>
        <item x="26"/>
        <item x="375"/>
        <item x="49"/>
        <item m="1" x="815"/>
        <item m="1" x="948"/>
        <item x="27"/>
        <item m="1" x="983"/>
        <item m="1" x="580"/>
        <item x="287"/>
        <item x="382"/>
        <item m="1" x="1110"/>
        <item m="1" x="885"/>
        <item m="1" x="636"/>
        <item m="1" x="1104"/>
        <item x="288"/>
        <item m="1" x="662"/>
        <item m="1" x="659"/>
        <item m="1" x="585"/>
        <item m="1" x="1122"/>
        <item m="1" x="950"/>
        <item x="526"/>
        <item x="484"/>
        <item m="1" x="770"/>
        <item x="264"/>
        <item m="1" x="845"/>
        <item x="58"/>
        <item x="485"/>
        <item m="1" x="1028"/>
        <item x="376"/>
        <item m="1" x="901"/>
        <item x="377"/>
        <item m="1" x="715"/>
        <item m="1" x="954"/>
        <item m="1" x="1252"/>
        <item m="1" x="1173"/>
        <item x="113"/>
        <item m="1" x="1068"/>
        <item m="1" x="797"/>
        <item m="1" x="886"/>
        <item x="378"/>
        <item m="1" x="939"/>
        <item m="1" x="987"/>
        <item m="1" x="1057"/>
        <item m="1" x="855"/>
        <item m="1" x="961"/>
        <item m="1" x="978"/>
        <item m="1" x="1120"/>
        <item m="1" x="681"/>
        <item x="486"/>
        <item m="1" x="1072"/>
        <item x="487"/>
        <item x="59"/>
        <item x="265"/>
        <item m="1" x="1227"/>
        <item x="488"/>
        <item x="266"/>
        <item x="527"/>
        <item x="267"/>
        <item m="1" x="644"/>
        <item x="268"/>
        <item x="28"/>
        <item x="181"/>
        <item x="489"/>
        <item m="1" x="869"/>
      </items>
    </pivotField>
    <pivotField axis="axisRow" compact="0" outline="0" showAll="0" defaultSubtotal="0">
      <items count="694">
        <item m="1" x="609"/>
        <item x="348"/>
        <item m="1" x="551"/>
        <item x="78"/>
        <item x="73"/>
        <item x="48"/>
        <item x="79"/>
        <item x="55"/>
        <item m="1" x="555"/>
        <item x="158"/>
        <item x="38"/>
        <item m="1" x="486"/>
        <item m="1" x="493"/>
        <item m="1" x="663"/>
        <item x="343"/>
        <item x="298"/>
        <item x="177"/>
        <item x="85"/>
        <item x="76"/>
        <item m="1" x="422"/>
        <item x="58"/>
        <item m="1" x="432"/>
        <item x="130"/>
        <item m="1" x="527"/>
        <item m="1" x="503"/>
        <item x="28"/>
        <item x="29"/>
        <item m="1" x="652"/>
        <item m="1" x="487"/>
        <item x="26"/>
        <item x="207"/>
        <item m="1" x="668"/>
        <item m="1" x="550"/>
        <item m="1" x="421"/>
        <item m="1" x="670"/>
        <item x="81"/>
        <item x="30"/>
        <item m="1" x="420"/>
        <item x="50"/>
        <item x="367"/>
        <item x="3"/>
        <item x="250"/>
        <item m="1" x="608"/>
        <item m="1" x="660"/>
        <item x="53"/>
        <item m="1" x="498"/>
        <item x="110"/>
        <item m="1" x="458"/>
        <item x="44"/>
        <item x="234"/>
        <item x="2"/>
        <item x="146"/>
        <item x="311"/>
        <item m="1" x="576"/>
        <item x="175"/>
        <item m="1" x="641"/>
        <item x="249"/>
        <item x="32"/>
        <item x="70"/>
        <item m="1" x="621"/>
        <item x="21"/>
        <item m="1" x="571"/>
        <item x="223"/>
        <item m="1" x="639"/>
        <item x="365"/>
        <item m="1" x="528"/>
        <item x="59"/>
        <item m="1" x="474"/>
        <item x="57"/>
        <item m="1" x="638"/>
        <item x="9"/>
        <item x="402"/>
        <item x="7"/>
        <item x="344"/>
        <item x="40"/>
        <item x="60"/>
        <item m="1" x="481"/>
        <item m="1" x="657"/>
        <item x="247"/>
        <item m="1" x="512"/>
        <item m="1" x="476"/>
        <item x="39"/>
        <item x="115"/>
        <item m="1" x="614"/>
        <item m="1" x="456"/>
        <item x="322"/>
        <item x="196"/>
        <item x="145"/>
        <item x="217"/>
        <item x="283"/>
        <item m="1" x="587"/>
        <item x="101"/>
        <item x="136"/>
        <item m="1" x="507"/>
        <item x="6"/>
        <item x="41"/>
        <item m="1" x="629"/>
        <item x="91"/>
        <item m="1" x="659"/>
        <item m="1" x="654"/>
        <item x="64"/>
        <item m="1" x="547"/>
        <item x="19"/>
        <item x="170"/>
        <item x="318"/>
        <item m="1" x="423"/>
        <item x="273"/>
        <item x="113"/>
        <item x="213"/>
        <item x="111"/>
        <item x="184"/>
        <item x="82"/>
        <item x="52"/>
        <item x="139"/>
        <item m="1" x="414"/>
        <item x="8"/>
        <item x="214"/>
        <item x="119"/>
        <item x="243"/>
        <item x="279"/>
        <item x="264"/>
        <item x="263"/>
        <item x="149"/>
        <item x="173"/>
        <item m="1" x="463"/>
        <item x="281"/>
        <item m="1" x="643"/>
        <item x="51"/>
        <item x="56"/>
        <item m="1" x="615"/>
        <item x="291"/>
        <item m="1" x="506"/>
        <item x="338"/>
        <item x="152"/>
        <item x="68"/>
        <item x="342"/>
        <item x="151"/>
        <item x="203"/>
        <item x="262"/>
        <item x="116"/>
        <item m="1" x="537"/>
        <item m="1" x="536"/>
        <item m="1" x="552"/>
        <item x="114"/>
        <item m="1" x="579"/>
        <item m="1" x="443"/>
        <item m="1" x="467"/>
        <item m="1" x="516"/>
        <item x="11"/>
        <item x="193"/>
        <item x="80"/>
        <item x="157"/>
        <item x="174"/>
        <item x="361"/>
        <item x="36"/>
        <item x="18"/>
        <item m="1" x="662"/>
        <item x="77"/>
        <item x="24"/>
        <item x="42"/>
        <item x="319"/>
        <item x="17"/>
        <item x="14"/>
        <item x="97"/>
        <item m="1" x="667"/>
        <item x="374"/>
        <item x="22"/>
        <item x="112"/>
        <item x="238"/>
        <item m="1" x="556"/>
        <item m="1" x="647"/>
        <item x="240"/>
        <item m="1" x="656"/>
        <item m="1" x="594"/>
        <item x="33"/>
        <item x="287"/>
        <item m="1" x="526"/>
        <item x="288"/>
        <item m="1" x="505"/>
        <item x="128"/>
        <item x="61"/>
        <item x="37"/>
        <item m="1" x="604"/>
        <item x="1"/>
        <item x="295"/>
        <item x="172"/>
        <item x="147"/>
        <item m="1" x="601"/>
        <item m="1" x="632"/>
        <item m="1" x="554"/>
        <item x="226"/>
        <item x="104"/>
        <item m="1" x="535"/>
        <item m="1" x="525"/>
        <item x="355"/>
        <item x="286"/>
        <item m="1" x="676"/>
        <item x="242"/>
        <item m="1" x="675"/>
        <item x="309"/>
        <item x="140"/>
        <item m="1" x="693"/>
        <item x="181"/>
        <item x="90"/>
        <item x="84"/>
        <item m="1" x="674"/>
        <item m="1" x="563"/>
        <item x="359"/>
        <item x="25"/>
        <item m="1" x="649"/>
        <item x="23"/>
        <item x="137"/>
        <item m="1" x="605"/>
        <item m="1" x="650"/>
        <item m="1" x="567"/>
        <item m="1" x="430"/>
        <item x="190"/>
        <item m="1" x="628"/>
        <item x="54"/>
        <item x="94"/>
        <item m="1" x="413"/>
        <item x="244"/>
        <item m="1" x="426"/>
        <item x="277"/>
        <item x="88"/>
        <item m="1" x="684"/>
        <item m="1" x="689"/>
        <item m="1" x="490"/>
        <item m="1" x="473"/>
        <item m="1" x="635"/>
        <item m="1" x="630"/>
        <item m="1" x="570"/>
        <item m="1" x="489"/>
        <item m="1" x="425"/>
        <item x="102"/>
        <item m="1" x="611"/>
        <item m="1" x="626"/>
        <item x="222"/>
        <item m="1" x="682"/>
        <item m="1" x="665"/>
        <item x="323"/>
        <item m="1" x="583"/>
        <item m="1" x="470"/>
        <item x="202"/>
        <item m="1" x="624"/>
        <item m="1" x="586"/>
        <item m="1" x="619"/>
        <item m="1" x="546"/>
        <item x="248"/>
        <item x="266"/>
        <item m="1" x="442"/>
        <item m="1" x="513"/>
        <item m="1" x="548"/>
        <item m="1" x="428"/>
        <item m="1" x="581"/>
        <item x="299"/>
        <item m="1" x="640"/>
        <item m="1" x="622"/>
        <item m="1" x="584"/>
        <item x="315"/>
        <item x="271"/>
        <item m="1" x="478"/>
        <item m="1" x="544"/>
        <item x="386"/>
        <item x="47"/>
        <item m="1" x="580"/>
        <item m="1" x="598"/>
        <item x="340"/>
        <item m="1" x="589"/>
        <item m="1" x="418"/>
        <item m="1" x="618"/>
        <item x="194"/>
        <item m="1" x="591"/>
        <item m="1" x="492"/>
        <item m="1" x="625"/>
        <item x="292"/>
        <item x="294"/>
        <item x="62"/>
        <item m="1" x="521"/>
        <item x="317"/>
        <item m="1" x="515"/>
        <item x="100"/>
        <item m="1" x="541"/>
        <item m="1" x="437"/>
        <item m="1" x="645"/>
        <item m="1" x="612"/>
        <item m="1" x="479"/>
        <item m="1" x="499"/>
        <item m="1" x="603"/>
        <item m="1" x="606"/>
        <item m="1" x="582"/>
        <item m="1" x="427"/>
        <item m="1" x="514"/>
        <item m="1" x="457"/>
        <item m="1" x="690"/>
        <item m="1" x="500"/>
        <item m="1" x="450"/>
        <item m="1" x="573"/>
        <item x="171"/>
        <item m="1" x="561"/>
        <item m="1" x="447"/>
        <item m="1" x="692"/>
        <item x="265"/>
        <item m="1" x="564"/>
        <item m="1" x="631"/>
        <item m="1" x="482"/>
        <item m="1" x="517"/>
        <item x="63"/>
        <item x="206"/>
        <item m="1" x="419"/>
        <item m="1" x="613"/>
        <item x="272"/>
        <item x="285"/>
        <item x="180"/>
        <item m="1" x="511"/>
        <item x="72"/>
        <item x="268"/>
        <item x="49"/>
        <item m="1" x="644"/>
        <item m="1" x="568"/>
        <item x="349"/>
        <item m="1" x="600"/>
        <item m="1" x="559"/>
        <item m="1" x="588"/>
        <item m="1" x="595"/>
        <item m="1" x="429"/>
        <item m="1" x="465"/>
        <item m="1" x="483"/>
        <item x="179"/>
        <item x="74"/>
        <item m="1" x="464"/>
        <item x="409"/>
        <item x="191"/>
        <item x="215"/>
        <item m="1" x="683"/>
        <item x="395"/>
        <item m="1" x="508"/>
        <item m="1" x="545"/>
        <item m="1" x="565"/>
        <item m="1" x="496"/>
        <item m="1" x="441"/>
        <item m="1" x="501"/>
        <item m="1" x="575"/>
        <item x="164"/>
        <item m="1" x="672"/>
        <item m="1" x="520"/>
        <item x="129"/>
        <item m="1" x="616"/>
        <item m="1" x="434"/>
        <item m="1" x="661"/>
        <item m="1" x="592"/>
        <item m="1" x="475"/>
        <item m="1" x="664"/>
        <item m="1" x="484"/>
        <item m="1" x="446"/>
        <item m="1" x="469"/>
        <item m="1" x="495"/>
        <item x="245"/>
        <item m="1" x="658"/>
        <item m="1" x="679"/>
        <item m="1" x="651"/>
        <item x="209"/>
        <item m="1" x="411"/>
        <item x="148"/>
        <item m="1" x="502"/>
        <item m="1" x="524"/>
        <item x="320"/>
        <item x="383"/>
        <item x="408"/>
        <item x="332"/>
        <item m="1" x="529"/>
        <item m="1" x="530"/>
        <item m="1" x="557"/>
        <item m="1" x="412"/>
        <item m="1" x="461"/>
        <item m="1" x="518"/>
        <item m="1" x="471"/>
        <item m="1" x="532"/>
        <item x="236"/>
        <item x="127"/>
        <item m="1" x="439"/>
        <item m="1" x="681"/>
        <item m="1" x="533"/>
        <item m="1" x="633"/>
        <item m="1" x="574"/>
        <item m="1" x="543"/>
        <item m="1" x="585"/>
        <item m="1" x="459"/>
        <item m="1" x="462"/>
        <item m="1" x="602"/>
        <item m="1" x="538"/>
        <item x="260"/>
        <item m="1" x="596"/>
        <item m="1" x="460"/>
        <item m="1" x="417"/>
        <item x="378"/>
        <item m="1" x="637"/>
        <item x="83"/>
        <item x="241"/>
        <item x="159"/>
        <item x="144"/>
        <item m="1" x="646"/>
        <item m="1" x="572"/>
        <item m="1" x="440"/>
        <item x="107"/>
        <item x="108"/>
        <item m="1" x="509"/>
        <item m="1" x="444"/>
        <item x="125"/>
        <item x="69"/>
        <item m="1" x="531"/>
        <item m="1" x="678"/>
        <item m="1" x="410"/>
        <item x="301"/>
        <item x="201"/>
        <item m="1" x="680"/>
        <item m="1" x="597"/>
        <item m="1" x="542"/>
        <item x="92"/>
        <item m="1" x="566"/>
        <item m="1" x="433"/>
        <item x="135"/>
        <item x="89"/>
        <item x="372"/>
        <item m="1" x="623"/>
        <item m="1" x="627"/>
        <item m="1" x="453"/>
        <item m="1" x="519"/>
        <item x="284"/>
        <item x="227"/>
        <item m="1" x="424"/>
        <item m="1" x="685"/>
        <item x="118"/>
        <item m="1" x="448"/>
        <item m="1" x="436"/>
        <item m="1" x="599"/>
        <item m="1" x="449"/>
        <item x="154"/>
        <item m="1" x="549"/>
        <item m="1" x="578"/>
        <item x="162"/>
        <item m="1" x="539"/>
        <item m="1" x="620"/>
        <item m="1" x="523"/>
        <item m="1" x="466"/>
        <item m="1" x="451"/>
        <item m="1" x="648"/>
        <item m="1" x="415"/>
        <item m="1" x="553"/>
        <item x="124"/>
        <item x="327"/>
        <item x="335"/>
        <item x="396"/>
        <item m="1" x="452"/>
        <item x="131"/>
        <item x="363"/>
        <item m="1" x="617"/>
        <item m="1" x="438"/>
        <item x="387"/>
        <item x="67"/>
        <item x="87"/>
        <item x="117"/>
        <item x="394"/>
        <item x="220"/>
        <item x="221"/>
        <item x="98"/>
        <item m="1" x="577"/>
        <item x="293"/>
        <item x="313"/>
        <item m="1" x="504"/>
        <item x="404"/>
        <item x="407"/>
        <item m="1" x="435"/>
        <item m="1" x="688"/>
        <item m="1" x="634"/>
        <item x="46"/>
        <item x="65"/>
        <item x="66"/>
        <item m="1" x="636"/>
        <item x="43"/>
        <item m="1" x="534"/>
        <item m="1" x="522"/>
        <item x="167"/>
        <item m="1" x="488"/>
        <item x="187"/>
        <item x="188"/>
        <item m="1" x="610"/>
        <item x="199"/>
        <item m="1" x="590"/>
        <item m="1" x="497"/>
        <item x="233"/>
        <item x="235"/>
        <item x="239"/>
        <item x="258"/>
        <item m="1" x="593"/>
        <item m="1" x="686"/>
        <item m="1" x="472"/>
        <item m="1" x="491"/>
        <item m="1" x="666"/>
        <item x="278"/>
        <item m="1" x="669"/>
        <item x="329"/>
        <item m="1" x="540"/>
        <item x="306"/>
        <item x="312"/>
        <item x="231"/>
        <item x="333"/>
        <item x="334"/>
        <item x="352"/>
        <item m="1" x="510"/>
        <item m="1" x="653"/>
        <item x="399"/>
        <item x="406"/>
        <item x="377"/>
        <item m="1" x="485"/>
        <item x="182"/>
        <item x="314"/>
        <item m="1" x="468"/>
        <item x="165"/>
        <item m="1" x="416"/>
        <item m="1" x="558"/>
        <item m="1" x="455"/>
        <item m="1" x="687"/>
        <item x="132"/>
        <item m="1" x="445"/>
        <item x="251"/>
        <item m="1" x="480"/>
        <item m="1" x="454"/>
        <item m="1" x="560"/>
        <item x="307"/>
        <item m="1" x="477"/>
        <item m="1" x="671"/>
        <item x="0"/>
        <item m="1" x="607"/>
        <item m="1" x="691"/>
        <item m="1" x="494"/>
        <item x="228"/>
        <item x="229"/>
        <item m="1" x="562"/>
        <item m="1" x="655"/>
        <item m="1" x="642"/>
        <item m="1" x="431"/>
        <item x="166"/>
        <item x="382"/>
        <item x="195"/>
        <item x="290"/>
        <item x="216"/>
        <item m="1" x="569"/>
        <item m="1" x="673"/>
        <item x="4"/>
        <item x="5"/>
        <item x="10"/>
        <item x="20"/>
        <item x="71"/>
        <item x="109"/>
        <item m="1" x="677"/>
        <item x="310"/>
        <item x="358"/>
        <item x="369"/>
        <item x="373"/>
        <item x="375"/>
        <item x="391"/>
        <item x="31"/>
        <item x="35"/>
        <item x="75"/>
        <item x="86"/>
        <item x="95"/>
        <item x="96"/>
        <item x="99"/>
        <item x="103"/>
        <item x="120"/>
        <item x="122"/>
        <item x="126"/>
        <item x="133"/>
        <item x="134"/>
        <item x="138"/>
        <item x="141"/>
        <item x="142"/>
        <item x="143"/>
        <item x="153"/>
        <item x="160"/>
        <item x="161"/>
        <item x="169"/>
        <item x="176"/>
        <item x="185"/>
        <item x="189"/>
        <item x="192"/>
        <item x="198"/>
        <item x="200"/>
        <item x="204"/>
        <item x="205"/>
        <item x="210"/>
        <item x="212"/>
        <item x="218"/>
        <item x="219"/>
        <item x="224"/>
        <item x="225"/>
        <item x="230"/>
        <item x="254"/>
        <item x="257"/>
        <item x="267"/>
        <item x="270"/>
        <item x="274"/>
        <item x="275"/>
        <item x="276"/>
        <item x="302"/>
        <item x="303"/>
        <item x="304"/>
        <item x="305"/>
        <item x="308"/>
        <item x="321"/>
        <item x="336"/>
        <item x="346"/>
        <item x="366"/>
        <item x="371"/>
        <item x="376"/>
        <item x="379"/>
        <item x="384"/>
        <item x="388"/>
        <item x="400"/>
        <item x="401"/>
        <item x="403"/>
        <item x="405"/>
        <item x="34"/>
        <item x="197"/>
        <item x="246"/>
        <item x="256"/>
        <item x="282"/>
        <item x="289"/>
        <item x="296"/>
        <item x="297"/>
        <item x="316"/>
        <item x="326"/>
        <item x="328"/>
        <item x="370"/>
        <item x="121"/>
        <item x="155"/>
        <item x="252"/>
        <item x="253"/>
        <item x="150"/>
        <item x="390"/>
        <item x="211"/>
        <item x="337"/>
        <item x="339"/>
        <item x="357"/>
        <item x="12"/>
        <item x="13"/>
        <item x="15"/>
        <item x="16"/>
        <item x="27"/>
        <item x="45"/>
        <item x="123"/>
        <item x="156"/>
        <item x="232"/>
        <item x="237"/>
        <item x="364"/>
        <item x="385"/>
        <item x="389"/>
        <item x="398"/>
        <item x="93"/>
        <item x="105"/>
        <item x="106"/>
        <item x="163"/>
        <item x="168"/>
        <item x="178"/>
        <item x="183"/>
        <item x="186"/>
        <item x="208"/>
        <item x="255"/>
        <item x="259"/>
        <item x="261"/>
        <item x="269"/>
        <item x="280"/>
        <item x="300"/>
        <item x="324"/>
        <item x="325"/>
        <item x="330"/>
        <item x="331"/>
        <item x="341"/>
        <item x="345"/>
        <item x="347"/>
        <item x="350"/>
        <item x="351"/>
        <item x="353"/>
        <item x="354"/>
        <item x="356"/>
        <item x="360"/>
        <item x="362"/>
        <item x="368"/>
        <item x="380"/>
        <item x="381"/>
        <item x="392"/>
        <item x="393"/>
        <item x="397"/>
      </items>
    </pivotField>
    <pivotField compact="0" numFmtId="3" outline="0" showAll="0" defaultSubtotal="0"/>
    <pivotField compact="0" numFmtId="3" outline="0" showAll="0" defaultSubtotal="0"/>
    <pivotField axis="axisRow" compact="0" outline="0" showAll="0" defaultSubtotal="0">
      <items count="25">
        <item x="1"/>
        <item m="1" x="6"/>
        <item m="1" x="17"/>
        <item m="1" x="5"/>
        <item m="1" x="19"/>
        <item m="1" x="18"/>
        <item m="1" x="20"/>
        <item m="1" x="4"/>
        <item m="1" x="16"/>
        <item m="1" x="9"/>
        <item m="1" x="22"/>
        <item m="1" x="14"/>
        <item m="1" x="15"/>
        <item m="1" x="8"/>
        <item m="1" x="21"/>
        <item m="1" x="24"/>
        <item m="1" x="7"/>
        <item m="1" x="10"/>
        <item m="1" x="13"/>
        <item m="1" x="23"/>
        <item m="1" x="12"/>
        <item m="1" x="11"/>
        <item m="1" x="3"/>
        <item m="1" x="2"/>
        <item x="0"/>
      </items>
    </pivotField>
  </pivotFields>
  <rowFields count="4">
    <field x="2"/>
    <field x="3"/>
    <field x="1"/>
    <field x="6"/>
  </rowFields>
  <rowItems count="126">
    <i>
      <x/>
      <x v="174"/>
      <x v="3"/>
      <x v="24"/>
    </i>
    <i>
      <x v="2"/>
      <x v="255"/>
      <x/>
      <x/>
    </i>
    <i>
      <x v="3"/>
      <x v="159"/>
      <x v="1"/>
      <x v="24"/>
    </i>
    <i>
      <x v="6"/>
      <x v="162"/>
      <x v="2"/>
      <x/>
    </i>
    <i>
      <x v="54"/>
      <x v="58"/>
      <x v="4"/>
      <x/>
    </i>
    <i>
      <x v="86"/>
      <x v="673"/>
      <x v="5"/>
      <x/>
    </i>
    <i>
      <x v="109"/>
      <x v="190"/>
      <x v="6"/>
      <x v="24"/>
    </i>
    <i>
      <x v="118"/>
      <x v="22"/>
      <x v="7"/>
      <x/>
    </i>
    <i>
      <x v="130"/>
      <x v="413"/>
      <x v="8"/>
      <x/>
    </i>
    <i>
      <x v="139"/>
      <x v="44"/>
      <x v="9"/>
      <x/>
    </i>
    <i>
      <x v="148"/>
      <x v="35"/>
      <x v="10"/>
      <x/>
    </i>
    <i>
      <x v="154"/>
      <x v="378"/>
      <x v="11"/>
      <x/>
    </i>
    <i r="1">
      <x v="605"/>
      <x v="12"/>
      <x/>
    </i>
    <i>
      <x v="166"/>
      <x v="35"/>
      <x v="13"/>
      <x/>
    </i>
    <i r="1">
      <x v="183"/>
      <x v="14"/>
      <x/>
    </i>
    <i>
      <x v="195"/>
      <x v="315"/>
      <x v="15"/>
      <x/>
    </i>
    <i>
      <x v="210"/>
      <x v="606"/>
      <x v="16"/>
      <x v="24"/>
    </i>
    <i>
      <x v="216"/>
      <x v="607"/>
      <x v="17"/>
      <x v="24"/>
    </i>
    <i>
      <x v="221"/>
      <x v="608"/>
      <x v="18"/>
      <x v="24"/>
    </i>
    <i>
      <x v="230"/>
      <x v="503"/>
      <x v="19"/>
      <x v="24"/>
    </i>
    <i>
      <x v="232"/>
      <x v="529"/>
      <x v="20"/>
      <x/>
    </i>
    <i>
      <x v="236"/>
      <x v="609"/>
      <x v="21"/>
      <x v="24"/>
    </i>
    <i>
      <x v="253"/>
      <x v="199"/>
      <x v="22"/>
      <x/>
    </i>
    <i>
      <x v="263"/>
      <x v="162"/>
      <x v="23"/>
      <x/>
    </i>
    <i>
      <x v="276"/>
      <x v="191"/>
      <x v="24"/>
      <x/>
    </i>
    <i r="1">
      <x v="556"/>
      <x v="25"/>
      <x/>
    </i>
    <i>
      <x v="289"/>
      <x v="52"/>
      <x v="26"/>
      <x/>
    </i>
    <i r="1">
      <x v="199"/>
      <x v="27"/>
      <x/>
    </i>
    <i>
      <x v="290"/>
      <x v="38"/>
      <x v="28"/>
      <x/>
    </i>
    <i>
      <x v="294"/>
      <x v="504"/>
      <x v="29"/>
      <x/>
    </i>
    <i>
      <x v="327"/>
      <x v="48"/>
      <x v="30"/>
      <x v="24"/>
    </i>
    <i>
      <x v="351"/>
      <x v="316"/>
      <x v="31"/>
      <x/>
    </i>
    <i>
      <x v="359"/>
      <x v="234"/>
      <x v="32"/>
      <x/>
    </i>
    <i>
      <x v="362"/>
      <x v="468"/>
      <x v="33"/>
      <x/>
    </i>
    <i>
      <x v="390"/>
      <x v="259"/>
      <x v="35"/>
      <x/>
    </i>
    <i r="1">
      <x v="516"/>
      <x v="34"/>
      <x/>
    </i>
    <i>
      <x v="403"/>
      <x v="631"/>
      <x v="36"/>
      <x/>
    </i>
    <i>
      <x v="413"/>
      <x v="279"/>
      <x v="37"/>
      <x v="24"/>
    </i>
    <i>
      <x v="456"/>
      <x v="104"/>
      <x v="38"/>
      <x/>
    </i>
    <i>
      <x v="477"/>
      <x v="94"/>
      <x v="39"/>
      <x v="24"/>
    </i>
    <i>
      <x v="488"/>
      <x v="505"/>
      <x v="40"/>
      <x v="24"/>
    </i>
    <i>
      <x v="492"/>
      <x v="484"/>
      <x v="41"/>
      <x/>
    </i>
    <i>
      <x v="506"/>
      <x v="160"/>
      <x v="42"/>
      <x/>
    </i>
    <i>
      <x v="518"/>
      <x v="366"/>
      <x v="43"/>
      <x v="24"/>
    </i>
    <i>
      <x v="521"/>
      <x v="610"/>
      <x v="44"/>
      <x v="24"/>
    </i>
    <i>
      <x v="529"/>
      <x v="150"/>
      <x v="45"/>
      <x/>
    </i>
    <i>
      <x v="535"/>
      <x v="85"/>
      <x v="46"/>
      <x/>
    </i>
    <i>
      <x v="537"/>
      <x v="240"/>
      <x v="47"/>
      <x/>
    </i>
    <i>
      <x v="544"/>
      <x v="40"/>
      <x v="48"/>
      <x v="24"/>
    </i>
    <i r="1">
      <x v="333"/>
      <x v="49"/>
      <x/>
    </i>
    <i r="1">
      <x v="343"/>
      <x v="50"/>
      <x/>
    </i>
    <i>
      <x v="547"/>
      <x v="674"/>
      <x v="51"/>
      <x/>
    </i>
    <i r="1">
      <x v="675"/>
      <x v="52"/>
      <x/>
    </i>
    <i>
      <x v="550"/>
      <x v="119"/>
      <x v="53"/>
      <x/>
    </i>
    <i>
      <x v="556"/>
      <x v="190"/>
      <x v="55"/>
      <x/>
    </i>
    <i r="1">
      <x v="632"/>
      <x v="54"/>
      <x v="24"/>
    </i>
    <i>
      <x v="562"/>
      <x v="260"/>
      <x v="57"/>
      <x/>
    </i>
    <i r="1">
      <x v="450"/>
      <x v="56"/>
      <x/>
    </i>
    <i>
      <x v="565"/>
      <x v="5"/>
      <x v="58"/>
      <x/>
    </i>
    <i>
      <x v="595"/>
      <x v="633"/>
      <x v="59"/>
      <x v="24"/>
    </i>
    <i>
      <x v="603"/>
      <x v="501"/>
      <x v="60"/>
      <x/>
    </i>
    <i>
      <x v="605"/>
      <x v="203"/>
      <x v="61"/>
      <x/>
    </i>
    <i>
      <x v="616"/>
      <x v="143"/>
      <x v="62"/>
      <x/>
    </i>
    <i>
      <x v="627"/>
      <x v="203"/>
      <x v="64"/>
      <x/>
    </i>
    <i>
      <x v="628"/>
      <x v="137"/>
      <x v="63"/>
      <x/>
    </i>
    <i>
      <x v="633"/>
      <x v="676"/>
      <x v="65"/>
      <x/>
    </i>
    <i>
      <x v="664"/>
      <x v="369"/>
      <x v="67"/>
      <x/>
    </i>
    <i r="1">
      <x v="677"/>
      <x v="66"/>
      <x/>
    </i>
    <i>
      <x v="674"/>
      <x v="82"/>
      <x v="68"/>
      <x/>
    </i>
    <i>
      <x v="694"/>
      <x v="504"/>
      <x v="69"/>
      <x v="24"/>
    </i>
    <i>
      <x v="719"/>
      <x v="110"/>
      <x v="70"/>
      <x/>
    </i>
    <i>
      <x v="725"/>
      <x v="200"/>
      <x v="71"/>
      <x v="24"/>
    </i>
    <i>
      <x v="730"/>
      <x v="506"/>
      <x v="72"/>
      <x/>
    </i>
    <i r="1">
      <x v="507"/>
      <x v="73"/>
      <x/>
    </i>
    <i>
      <x v="740"/>
      <x v="451"/>
      <x v="74"/>
      <x/>
    </i>
    <i>
      <x v="764"/>
      <x v="40"/>
      <x v="75"/>
      <x/>
    </i>
    <i>
      <x v="765"/>
      <x v="611"/>
      <x v="76"/>
      <x/>
    </i>
    <i>
      <x v="766"/>
      <x v="162"/>
      <x v="77"/>
      <x/>
    </i>
    <i>
      <x v="776"/>
      <x v="157"/>
      <x v="78"/>
      <x/>
    </i>
    <i r="1">
      <x v="642"/>
      <x v="79"/>
      <x/>
    </i>
    <i>
      <x v="786"/>
      <x v="132"/>
      <x v="80"/>
      <x v="24"/>
    </i>
    <i>
      <x v="790"/>
      <x v="50"/>
      <x v="81"/>
      <x v="24"/>
    </i>
    <i>
      <x v="795"/>
      <x v="203"/>
      <x v="82"/>
      <x/>
    </i>
    <i>
      <x v="814"/>
      <x v="643"/>
      <x v="83"/>
      <x/>
    </i>
    <i>
      <x v="826"/>
      <x v="158"/>
      <x v="84"/>
      <x/>
    </i>
    <i r="1">
      <x v="267"/>
      <x v="85"/>
      <x/>
    </i>
    <i>
      <x v="834"/>
      <x v="678"/>
      <x v="86"/>
      <x/>
    </i>
    <i>
      <x v="835"/>
      <x v="647"/>
      <x v="87"/>
      <x/>
    </i>
    <i>
      <x v="848"/>
      <x v="135"/>
      <x v="88"/>
      <x/>
    </i>
    <i r="1">
      <x v="464"/>
      <x v="89"/>
      <x v="24"/>
    </i>
    <i>
      <x v="853"/>
      <x v="450"/>
      <x v="90"/>
      <x v="24"/>
    </i>
    <i>
      <x v="897"/>
      <x v="14"/>
      <x v="91"/>
      <x/>
    </i>
    <i r="1">
      <x v="73"/>
      <x v="92"/>
      <x/>
    </i>
    <i>
      <x v="907"/>
      <x v="400"/>
      <x v="94"/>
      <x/>
    </i>
    <i r="1">
      <x v="679"/>
      <x v="93"/>
      <x/>
    </i>
    <i>
      <x v="908"/>
      <x v="612"/>
      <x v="95"/>
      <x v="24"/>
    </i>
    <i>
      <x v="918"/>
      <x v="46"/>
      <x v="96"/>
      <x/>
    </i>
    <i>
      <x v="936"/>
      <x v="680"/>
      <x v="97"/>
      <x/>
    </i>
    <i>
      <x v="939"/>
      <x v="162"/>
      <x v="98"/>
      <x/>
    </i>
    <i r="1">
      <x v="191"/>
      <x v="99"/>
      <x/>
    </i>
    <i>
      <x v="947"/>
      <x v="70"/>
      <x v="100"/>
      <x v="24"/>
    </i>
    <i>
      <x v="972"/>
      <x v="1"/>
      <x v="101"/>
      <x/>
    </i>
    <i>
      <x v="983"/>
      <x v="328"/>
      <x v="102"/>
      <x v="24"/>
    </i>
    <i>
      <x v="1033"/>
      <x v="94"/>
      <x v="104"/>
      <x/>
    </i>
    <i r="1">
      <x v="320"/>
      <x v="103"/>
      <x/>
    </i>
    <i>
      <x v="1074"/>
      <x v="681"/>
      <x v="105"/>
      <x/>
    </i>
    <i r="1">
      <x v="682"/>
      <x v="106"/>
      <x/>
    </i>
    <i>
      <x v="1080"/>
      <x v="119"/>
      <x v="107"/>
      <x v="24"/>
    </i>
    <i r="1">
      <x v="200"/>
      <x v="108"/>
      <x/>
    </i>
    <i>
      <x v="1094"/>
      <x v="508"/>
      <x v="109"/>
      <x/>
    </i>
    <i>
      <x v="1095"/>
      <x v="150"/>
      <x v="110"/>
      <x v="24"/>
    </i>
    <i>
      <x v="1096"/>
      <x v="683"/>
      <x v="111"/>
      <x/>
    </i>
    <i>
      <x v="1119"/>
      <x v="149"/>
      <x v="112"/>
      <x/>
    </i>
    <i>
      <x v="1129"/>
      <x v="150"/>
      <x v="113"/>
      <x/>
    </i>
    <i>
      <x v="1137"/>
      <x v="369"/>
      <x v="114"/>
      <x/>
    </i>
    <i>
      <x v="1143"/>
      <x v="54"/>
      <x v="115"/>
      <x/>
    </i>
    <i>
      <x v="1156"/>
      <x v="684"/>
      <x v="116"/>
      <x/>
    </i>
    <i>
      <x v="1179"/>
      <x v="378"/>
      <x v="117"/>
      <x/>
    </i>
    <i>
      <x v="1226"/>
      <x v="194"/>
      <x v="118"/>
      <x/>
    </i>
    <i>
      <x v="1233"/>
      <x v="203"/>
      <x v="119"/>
      <x v="24"/>
    </i>
    <i>
      <x v="1238"/>
      <x v="685"/>
      <x v="120"/>
      <x/>
    </i>
    <i>
      <x v="1251"/>
      <x v="644"/>
      <x v="121"/>
      <x/>
    </i>
    <i>
      <x v="1260"/>
      <x v="57"/>
      <x v="122"/>
      <x/>
    </i>
    <i>
      <x v="1262"/>
      <x v="557"/>
      <x v="123"/>
      <x v="24"/>
    </i>
    <i>
      <x v="1266"/>
      <x v="70"/>
      <x v="124"/>
      <x/>
    </i>
    <i>
      <x v="1274"/>
      <x v="207"/>
      <x v="125"/>
      <x/>
    </i>
  </rowItems>
  <colItems count="1">
    <i/>
  </colItems>
  <pageFields count="1">
    <pageField fld="0" item="21" hier="-1"/>
  </pageFields>
  <formats count="7">
    <format dxfId="128">
      <pivotArea dataOnly="0" labelOnly="1" outline="0" fieldPosition="0">
        <references count="1">
          <reference field="1" count="0"/>
        </references>
      </pivotArea>
    </format>
    <format dxfId="127">
      <pivotArea field="2" type="button" dataOnly="0" labelOnly="1" outline="0" axis="axisRow" fieldPosition="0"/>
    </format>
    <format dxfId="126">
      <pivotArea field="3" type="button" dataOnly="0" labelOnly="1" outline="0" axis="axisRow" fieldPosition="1"/>
    </format>
    <format dxfId="125">
      <pivotArea field="1" type="button" dataOnly="0" labelOnly="1" outline="0" axis="axisRow" fieldPosition="2"/>
    </format>
    <format dxfId="124">
      <pivotArea dataOnly="0" labelOnly="1" outline="0" fieldPosition="0">
        <references count="1">
          <reference field="2" count="0"/>
        </references>
      </pivotArea>
    </format>
    <format dxfId="123">
      <pivotArea field="0" type="button" dataOnly="0" labelOnly="1" outline="0" axis="axisPage" fieldPosition="0"/>
    </format>
    <format dxfId="122">
      <pivotArea dataOnly="0" labelOnly="1" outline="0" fieldPosition="0">
        <references count="1">
          <reference field="0" count="1">
            <x v="0"/>
          </reference>
        </references>
      </pivotArea>
    </format>
  </formats>
  <pivotTableStyleInfo name="PivotStyleMedium7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800-000004000000}" name="Tableau croisé dynamique6" cacheId="0" applyNumberFormats="0" applyBorderFormats="0" applyFontFormats="0" applyPatternFormats="0" applyAlignmentFormats="0" applyWidthHeightFormats="1" dataCaption="Valeurs" updatedVersion="8" minRefreshableVersion="3" showDrill="0" showDataTips="0" rowGrandTotals="0" colGrandTotals="0" itemPrintTitles="1" createdVersion="5" indent="0" compact="0" compactData="0" multipleFieldFilters="0">
  <location ref="AC18:AF49" firstHeaderRow="1" firstDataRow="1" firstDataCol="4" rowPageCount="1" colPageCount="1"/>
  <pivotFields count="7">
    <pivotField axis="axisPage" compact="0" outline="0" showAll="0">
      <items count="37">
        <item x="0"/>
        <item x="1"/>
        <item x="2"/>
        <item m="1" x="34"/>
        <item x="3"/>
        <item x="4"/>
        <item x="5"/>
        <item x="6"/>
        <item m="1" x="29"/>
        <item x="7"/>
        <item x="8"/>
        <item m="1" x="27"/>
        <item x="10"/>
        <item m="1" x="23"/>
        <item x="11"/>
        <item m="1" x="35"/>
        <item x="12"/>
        <item x="13"/>
        <item x="15"/>
        <item m="1" x="31"/>
        <item m="1" x="21"/>
        <item x="16"/>
        <item x="17"/>
        <item x="18"/>
        <item x="19"/>
        <item m="1" x="24"/>
        <item m="1" x="28"/>
        <item x="9"/>
        <item m="1" x="25"/>
        <item m="1" x="30"/>
        <item x="14"/>
        <item m="1" x="26"/>
        <item m="1" x="32"/>
        <item m="1" x="22"/>
        <item m="1" x="20"/>
        <item m="1" x="33"/>
        <item t="default"/>
      </items>
    </pivotField>
    <pivotField name="Code" axis="axisRow" compact="0" outline="0" showAll="0" defaultSubtotal="0">
      <items count="12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</items>
    </pivotField>
    <pivotField axis="axisRow" compact="0" outline="0" showAll="0" sortType="ascending" defaultSubtotal="0">
      <items count="1276">
        <item x="29"/>
        <item m="1" x="728"/>
        <item x="392"/>
        <item x="393"/>
        <item m="1" x="807"/>
        <item m="1" x="624"/>
        <item x="394"/>
        <item m="1" x="596"/>
        <item x="327"/>
        <item x="528"/>
        <item x="328"/>
        <item m="1" x="832"/>
        <item m="1" x="1184"/>
        <item x="74"/>
        <item m="1" x="676"/>
        <item m="1" x="867"/>
        <item m="1" x="1015"/>
        <item x="329"/>
        <item x="132"/>
        <item x="182"/>
        <item x="60"/>
        <item x="61"/>
        <item m="1" x="1089"/>
        <item m="1" x="658"/>
        <item m="1" x="1217"/>
        <item m="1" x="1039"/>
        <item x="330"/>
        <item m="1" x="721"/>
        <item m="1" x="606"/>
        <item m="1" x="828"/>
        <item m="1" x="688"/>
        <item m="1" x="712"/>
        <item x="0"/>
        <item x="490"/>
        <item m="1" x="1064"/>
        <item m="1" x="918"/>
        <item x="331"/>
        <item m="1" x="611"/>
        <item m="1" x="1035"/>
        <item x="183"/>
        <item m="1" x="975"/>
        <item m="1" x="587"/>
        <item x="133"/>
        <item m="1" x="1222"/>
        <item m="1" x="1066"/>
        <item m="1" x="1025"/>
        <item m="1" x="1200"/>
        <item x="529"/>
        <item m="1" x="945"/>
        <item m="1" x="1271"/>
        <item x="1"/>
        <item x="30"/>
        <item m="1" x="1265"/>
        <item m="1" x="902"/>
        <item x="395"/>
        <item x="184"/>
        <item m="1" x="776"/>
        <item x="75"/>
        <item m="1" x="1017"/>
        <item x="31"/>
        <item m="1" x="1247"/>
        <item m="1" x="744"/>
        <item x="185"/>
        <item m="1" x="731"/>
        <item m="1" x="1258"/>
        <item x="186"/>
        <item m="1" x="737"/>
        <item x="269"/>
        <item x="134"/>
        <item x="332"/>
        <item m="1" x="1257"/>
        <item m="1" x="991"/>
        <item x="289"/>
        <item x="76"/>
        <item m="1" x="641"/>
        <item m="1" x="915"/>
        <item m="1" x="1109"/>
        <item x="187"/>
        <item m="1" x="906"/>
        <item m="1" x="746"/>
        <item m="1" x="690"/>
        <item m="1" x="933"/>
        <item m="1" x="1191"/>
        <item m="1" x="1250"/>
        <item m="1" x="1049"/>
        <item x="114"/>
        <item x="135"/>
        <item x="188"/>
        <item m="1" x="582"/>
        <item x="136"/>
        <item x="137"/>
        <item m="1" x="726"/>
        <item x="32"/>
        <item m="1" x="597"/>
        <item m="1" x="1220"/>
        <item x="270"/>
        <item m="1" x="864"/>
        <item m="1" x="591"/>
        <item x="290"/>
        <item m="1" x="940"/>
        <item m="1" x="999"/>
        <item x="491"/>
        <item m="1" x="905"/>
        <item m="1" x="800"/>
        <item m="1" x="1268"/>
        <item m="1" x="586"/>
        <item x="189"/>
        <item m="1" x="1102"/>
        <item x="554"/>
        <item x="396"/>
        <item m="1" x="1193"/>
        <item x="190"/>
        <item x="530"/>
        <item m="1" x="769"/>
        <item x="379"/>
        <item m="1" x="1036"/>
        <item x="304"/>
        <item x="271"/>
        <item x="397"/>
        <item m="1" x="735"/>
        <item x="555"/>
        <item m="1" x="931"/>
        <item m="1" x="794"/>
        <item m="1" x="1196"/>
        <item m="1" x="964"/>
        <item m="1" x="1114"/>
        <item x="2"/>
        <item x="77"/>
        <item m="1" x="1261"/>
        <item m="1" x="801"/>
        <item x="398"/>
        <item m="1" x="967"/>
        <item m="1" x="752"/>
        <item x="115"/>
        <item m="1" x="812"/>
        <item m="1" x="956"/>
        <item x="191"/>
        <item m="1" x="747"/>
        <item m="1" x="652"/>
        <item x="399"/>
        <item m="1" x="969"/>
        <item m="1" x="831"/>
        <item m="1" x="874"/>
        <item x="192"/>
        <item x="138"/>
        <item m="1" x="1221"/>
        <item m="1" x="1073"/>
        <item m="1" x="1167"/>
        <item x="400"/>
        <item x="531"/>
        <item m="1" x="1147"/>
        <item x="532"/>
        <item m="1" x="1272"/>
        <item m="1" x="1143"/>
        <item x="401"/>
        <item m="1" x="1240"/>
        <item x="50"/>
        <item x="556"/>
        <item x="193"/>
        <item x="139"/>
        <item x="140"/>
        <item x="333"/>
        <item m="1" x="1238"/>
        <item m="1" x="910"/>
        <item x="380"/>
        <item m="1" x="979"/>
        <item x="402"/>
        <item m="1" x="1010"/>
        <item x="33"/>
        <item x="194"/>
        <item m="1" x="893"/>
        <item m="1" x="818"/>
        <item x="141"/>
        <item m="1" x="1224"/>
        <item m="1" x="643"/>
        <item x="79"/>
        <item x="116"/>
        <item m="1" x="833"/>
        <item m="1" x="725"/>
        <item m="1" x="1013"/>
        <item x="195"/>
        <item x="78"/>
        <item x="334"/>
        <item m="1" x="856"/>
        <item x="80"/>
        <item m="1" x="1177"/>
        <item x="492"/>
        <item m="1" x="774"/>
        <item m="1" x="1045"/>
        <item m="1" x="748"/>
        <item x="142"/>
        <item m="1" x="613"/>
        <item m="1" x="736"/>
        <item x="493"/>
        <item m="1" x="694"/>
        <item x="403"/>
        <item m="1" x="1087"/>
        <item m="1" x="1058"/>
        <item x="335"/>
        <item x="557"/>
        <item m="1" x="1118"/>
        <item x="81"/>
        <item m="1" x="1074"/>
        <item x="494"/>
        <item m="1" x="599"/>
        <item m="1" x="782"/>
        <item x="495"/>
        <item x="3"/>
        <item m="1" x="1235"/>
        <item x="196"/>
        <item x="404"/>
        <item m="1" x="604"/>
        <item x="197"/>
        <item m="1" x="1117"/>
        <item m="1" x="1207"/>
        <item x="198"/>
        <item x="405"/>
        <item m="1" x="896"/>
        <item m="1" x="1138"/>
        <item x="4"/>
        <item x="496"/>
        <item x="406"/>
        <item m="1" x="1239"/>
        <item m="1" x="926"/>
        <item m="1" x="1245"/>
        <item m="1" x="734"/>
        <item x="336"/>
        <item m="1" x="777"/>
        <item x="82"/>
        <item x="272"/>
        <item x="407"/>
        <item x="337"/>
        <item x="408"/>
        <item m="1" x="1182"/>
        <item m="1" x="1267"/>
        <item m="1" x="803"/>
        <item x="409"/>
        <item m="1" x="651"/>
        <item m="1" x="1078"/>
        <item m="1" x="745"/>
        <item m="1" x="988"/>
        <item x="558"/>
        <item x="559"/>
        <item x="199"/>
        <item m="1" x="1243"/>
        <item x="533"/>
        <item x="273"/>
        <item x="305"/>
        <item x="338"/>
        <item m="1" x="809"/>
        <item m="1" x="852"/>
        <item x="200"/>
        <item m="1" x="894"/>
        <item x="410"/>
        <item x="497"/>
        <item m="1" x="670"/>
        <item m="1" x="850"/>
        <item x="339"/>
        <item m="1" x="1002"/>
        <item x="83"/>
        <item m="1" x="995"/>
        <item x="84"/>
        <item m="1" x="572"/>
        <item x="411"/>
        <item m="1" x="1091"/>
        <item m="1" x="878"/>
        <item m="1" x="573"/>
        <item m="1" x="862"/>
        <item x="201"/>
        <item x="498"/>
        <item x="499"/>
        <item m="1" x="663"/>
        <item m="1" x="772"/>
        <item x="117"/>
        <item x="85"/>
        <item x="143"/>
        <item x="412"/>
        <item m="1" x="702"/>
        <item m="1" x="622"/>
        <item x="534"/>
        <item m="1" x="704"/>
        <item x="202"/>
        <item x="51"/>
        <item x="203"/>
        <item m="1" x="843"/>
        <item m="1" x="684"/>
        <item x="118"/>
        <item m="1" x="879"/>
        <item m="1" x="863"/>
        <item x="413"/>
        <item x="414"/>
        <item x="204"/>
        <item x="306"/>
        <item x="205"/>
        <item x="415"/>
        <item m="1" x="1273"/>
        <item m="1" x="1260"/>
        <item x="34"/>
        <item m="1" x="1033"/>
        <item m="1" x="1131"/>
        <item x="340"/>
        <item x="560"/>
        <item m="1" x="827"/>
        <item m="1" x="1029"/>
        <item m="1" x="798"/>
        <item m="1" x="1166"/>
        <item x="144"/>
        <item x="307"/>
        <item x="86"/>
        <item x="5"/>
        <item m="1" x="1216"/>
        <item m="1" x="1000"/>
        <item x="145"/>
        <item m="1" x="787"/>
        <item m="1" x="817"/>
        <item x="308"/>
        <item x="535"/>
        <item m="1" x="1059"/>
        <item x="341"/>
        <item m="1" x="965"/>
        <item x="146"/>
        <item m="1" x="632"/>
        <item x="206"/>
        <item m="1" x="783"/>
        <item m="1" x="1142"/>
        <item m="1" x="1038"/>
        <item x="500"/>
        <item x="416"/>
        <item x="147"/>
        <item m="1" x="1146"/>
        <item m="1" x="1128"/>
        <item x="501"/>
        <item x="148"/>
        <item m="1" x="848"/>
        <item m="1" x="701"/>
        <item m="1" x="784"/>
        <item x="342"/>
        <item x="309"/>
        <item m="1" x="814"/>
        <item x="87"/>
        <item m="1" x="619"/>
        <item m="1" x="1202"/>
        <item x="310"/>
        <item m="1" x="709"/>
        <item x="207"/>
        <item m="1" x="826"/>
        <item x="149"/>
        <item x="62"/>
        <item m="1" x="1269"/>
        <item m="1" x="1153"/>
        <item m="1" x="640"/>
        <item x="417"/>
        <item m="1" x="1229"/>
        <item m="1" x="829"/>
        <item m="1" x="683"/>
        <item m="1" x="696"/>
        <item m="1" x="936"/>
        <item x="6"/>
        <item m="1" x="710"/>
        <item x="418"/>
        <item m="1" x="900"/>
        <item x="291"/>
        <item x="419"/>
        <item m="1" x="1194"/>
        <item m="1" x="1180"/>
        <item m="1" x="779"/>
        <item m="1" x="853"/>
        <item m="1" x="920"/>
        <item x="311"/>
        <item m="1" x="1082"/>
        <item m="1" x="1168"/>
        <item m="1" x="820"/>
        <item x="274"/>
        <item x="63"/>
        <item x="208"/>
        <item m="1" x="1236"/>
        <item m="1" x="1003"/>
        <item x="343"/>
        <item m="1" x="739"/>
        <item m="1" x="1226"/>
        <item m="1" x="1174"/>
        <item x="119"/>
        <item m="1" x="579"/>
        <item m="1" x="1046"/>
        <item m="1" x="780"/>
        <item x="275"/>
        <item m="1" x="625"/>
        <item m="1" x="708"/>
        <item m="1" x="768"/>
        <item m="1" x="1060"/>
        <item x="420"/>
        <item m="1" x="742"/>
        <item m="1" x="1043"/>
        <item x="209"/>
        <item x="383"/>
        <item x="35"/>
        <item x="276"/>
        <item m="1" x="1088"/>
        <item m="1" x="1136"/>
        <item x="52"/>
        <item m="1" x="854"/>
        <item x="536"/>
        <item x="88"/>
        <item x="421"/>
        <item m="1" x="759"/>
        <item x="64"/>
        <item x="150"/>
        <item m="1" x="903"/>
        <item x="344"/>
        <item x="210"/>
        <item m="1" x="687"/>
        <item m="1" x="1241"/>
        <item x="502"/>
        <item x="422"/>
        <item m="1" x="589"/>
        <item m="1" x="1005"/>
        <item m="1" x="677"/>
        <item x="312"/>
        <item x="89"/>
        <item x="151"/>
        <item x="7"/>
        <item x="503"/>
        <item x="211"/>
        <item m="1" x="718"/>
        <item x="53"/>
        <item x="504"/>
        <item x="313"/>
        <item x="345"/>
        <item x="537"/>
        <item m="1" x="626"/>
        <item x="295"/>
        <item m="1" x="1040"/>
        <item x="212"/>
        <item m="1" x="1176"/>
        <item m="1" x="664"/>
        <item m="1" x="1037"/>
        <item m="1" x="966"/>
        <item m="1" x="593"/>
        <item m="1" x="707"/>
        <item x="120"/>
        <item m="1" x="858"/>
        <item m="1" x="976"/>
        <item m="1" x="984"/>
        <item m="1" x="717"/>
        <item x="36"/>
        <item m="1" x="1099"/>
        <item m="1" x="635"/>
        <item x="152"/>
        <item m="1" x="618"/>
        <item m="1" x="1018"/>
        <item x="538"/>
        <item x="346"/>
        <item m="1" x="741"/>
        <item m="1" x="1135"/>
        <item x="8"/>
        <item m="1" x="799"/>
        <item x="423"/>
        <item m="1" x="928"/>
        <item x="347"/>
        <item m="1" x="1081"/>
        <item m="1" x="888"/>
        <item x="153"/>
        <item x="561"/>
        <item x="65"/>
        <item x="213"/>
        <item m="1" x="1092"/>
        <item m="1" x="1215"/>
        <item x="9"/>
        <item m="1" x="729"/>
        <item x="539"/>
        <item m="1" x="1106"/>
        <item m="1" x="1071"/>
        <item m="1" x="598"/>
        <item x="562"/>
        <item m="1" x="1231"/>
        <item x="296"/>
        <item x="214"/>
        <item x="424"/>
        <item x="154"/>
        <item x="104"/>
        <item x="297"/>
        <item x="37"/>
        <item x="540"/>
        <item m="1" x="790"/>
        <item x="541"/>
        <item m="1" x="1129"/>
        <item m="1" x="682"/>
        <item m="1" x="657"/>
        <item x="425"/>
        <item x="348"/>
        <item m="1" x="1079"/>
        <item x="349"/>
        <item x="426"/>
        <item m="1" x="882"/>
        <item m="1" x="990"/>
        <item x="10"/>
        <item m="1" x="892"/>
        <item x="215"/>
        <item m="1" x="1218"/>
        <item m="1" x="1067"/>
        <item m="1" x="660"/>
        <item m="1" x="1266"/>
        <item m="1" x="1024"/>
        <item x="90"/>
        <item m="1" x="1009"/>
        <item x="216"/>
        <item x="427"/>
        <item m="1" x="608"/>
        <item x="298"/>
        <item m="1" x="937"/>
        <item m="1" x="1233"/>
        <item m="1" x="996"/>
        <item m="1" x="620"/>
        <item x="155"/>
        <item x="156"/>
        <item m="1" x="1006"/>
        <item m="1" x="642"/>
        <item x="505"/>
        <item x="428"/>
        <item x="217"/>
        <item x="350"/>
        <item x="429"/>
        <item x="542"/>
        <item m="1" x="959"/>
        <item m="1" x="1165"/>
        <item m="1" x="1242"/>
        <item m="1" x="1205"/>
        <item x="506"/>
        <item m="1" x="1032"/>
        <item x="430"/>
        <item m="1" x="791"/>
        <item m="1" x="1203"/>
        <item m="1" x="912"/>
        <item m="1" x="904"/>
        <item m="1" x="584"/>
        <item x="431"/>
        <item m="1" x="1171"/>
        <item x="432"/>
        <item m="1" x="1075"/>
        <item m="1" x="1007"/>
        <item m="1" x="1069"/>
        <item m="1" x="1172"/>
        <item m="1" x="1126"/>
        <item m="1" x="1263"/>
        <item x="433"/>
        <item x="563"/>
        <item m="1" x="716"/>
        <item x="434"/>
        <item m="1" x="1048"/>
        <item x="218"/>
        <item x="435"/>
        <item m="1" x="1251"/>
        <item m="1" x="1107"/>
        <item x="38"/>
        <item x="351"/>
        <item x="507"/>
        <item x="436"/>
        <item m="1" x="1225"/>
        <item m="1" x="1016"/>
        <item m="1" x="602"/>
        <item m="1" x="1098"/>
        <item x="508"/>
        <item x="437"/>
        <item m="1" x="1076"/>
        <item x="219"/>
        <item x="438"/>
        <item x="91"/>
        <item m="1" x="713"/>
        <item m="1" x="581"/>
        <item m="1" x="592"/>
        <item m="1" x="1270"/>
        <item m="1" x="1274"/>
        <item m="1" x="607"/>
        <item m="1" x="595"/>
        <item m="1" x="986"/>
        <item x="220"/>
        <item m="1" x="1112"/>
        <item x="352"/>
        <item x="353"/>
        <item m="1" x="1152"/>
        <item m="1" x="837"/>
        <item x="157"/>
        <item m="1" x="1121"/>
        <item m="1" x="603"/>
        <item x="221"/>
        <item m="1" x="898"/>
        <item m="1" x="755"/>
        <item x="384"/>
        <item x="66"/>
        <item x="121"/>
        <item x="158"/>
        <item x="564"/>
        <item m="1" x="846"/>
        <item m="1" x="808"/>
        <item x="565"/>
        <item x="439"/>
        <item m="1" x="1230"/>
        <item x="222"/>
        <item m="1" x="1259"/>
        <item x="314"/>
        <item m="1" x="730"/>
        <item m="1" x="981"/>
        <item m="1" x="938"/>
        <item x="440"/>
        <item m="1" x="781"/>
        <item x="441"/>
        <item x="39"/>
        <item x="122"/>
        <item m="1" x="861"/>
        <item m="1" x="698"/>
        <item x="123"/>
        <item m="1" x="1169"/>
        <item x="223"/>
        <item m="1" x="1085"/>
        <item m="1" x="1162"/>
        <item m="1" x="655"/>
        <item x="442"/>
        <item m="1" x="749"/>
        <item m="1" x="633"/>
        <item x="105"/>
        <item x="543"/>
        <item m="1" x="1170"/>
        <item m="1" x="875"/>
        <item x="159"/>
        <item x="160"/>
        <item m="1" x="1023"/>
        <item x="124"/>
        <item x="444"/>
        <item x="443"/>
        <item m="1" x="1264"/>
        <item m="1" x="1204"/>
        <item m="1" x="727"/>
        <item m="1" x="764"/>
        <item x="445"/>
        <item m="1" x="667"/>
        <item m="1" x="941"/>
        <item m="1" x="871"/>
        <item x="224"/>
        <item m="1" x="917"/>
        <item m="1" x="1141"/>
        <item m="1" x="750"/>
        <item m="1" x="1111"/>
        <item m="1" x="1163"/>
        <item x="509"/>
        <item m="1" x="1012"/>
        <item x="225"/>
        <item m="1" x="810"/>
        <item m="1" x="949"/>
        <item m="1" x="958"/>
        <item x="299"/>
        <item x="226"/>
        <item x="227"/>
        <item m="1" x="1026"/>
        <item m="1" x="1070"/>
        <item m="1" x="786"/>
        <item x="277"/>
        <item m="1" x="1145"/>
        <item m="1" x="1124"/>
        <item m="1" x="623"/>
        <item m="1" x="962"/>
        <item m="1" x="594"/>
        <item m="1" x="913"/>
        <item x="510"/>
        <item m="1" x="1192"/>
        <item x="446"/>
        <item m="1" x="1093"/>
        <item m="1" x="673"/>
        <item x="228"/>
        <item x="11"/>
        <item m="1" x="968"/>
        <item x="354"/>
        <item m="1" x="1181"/>
        <item x="40"/>
        <item m="1" x="1186"/>
        <item x="447"/>
        <item m="1" x="575"/>
        <item x="125"/>
        <item x="67"/>
        <item m="1" x="761"/>
        <item x="544"/>
        <item m="1" x="1077"/>
        <item m="1" x="907"/>
        <item x="161"/>
        <item x="315"/>
        <item m="1" x="877"/>
        <item x="316"/>
        <item m="1" x="1157"/>
        <item x="92"/>
        <item m="1" x="895"/>
        <item m="1" x="802"/>
        <item x="355"/>
        <item m="1" x="1042"/>
        <item m="1" x="1080"/>
        <item m="1" x="946"/>
        <item x="448"/>
        <item m="1" x="672"/>
        <item m="1" x="574"/>
        <item m="1" x="1132"/>
        <item m="1" x="839"/>
        <item m="1" x="1052"/>
        <item x="385"/>
        <item x="68"/>
        <item m="1" x="1125"/>
        <item m="1" x="648"/>
        <item x="162"/>
        <item m="1" x="1211"/>
        <item m="1" x="703"/>
        <item m="1" x="838"/>
        <item m="1" x="778"/>
        <item m="1" x="970"/>
        <item m="1" x="884"/>
        <item m="1" x="785"/>
        <item m="1" x="578"/>
        <item m="1" x="796"/>
        <item x="356"/>
        <item m="1" x="1228"/>
        <item x="69"/>
        <item m="1" x="691"/>
        <item m="1" x="1090"/>
        <item x="449"/>
        <item x="357"/>
        <item m="1" x="792"/>
        <item x="511"/>
        <item m="1" x="686"/>
        <item x="300"/>
        <item x="450"/>
        <item x="566"/>
        <item x="358"/>
        <item x="70"/>
        <item m="1" x="1001"/>
        <item x="451"/>
        <item m="1" x="1115"/>
        <item m="1" x="723"/>
        <item x="41"/>
        <item x="93"/>
        <item m="1" x="789"/>
        <item m="1" x="614"/>
        <item x="163"/>
        <item x="359"/>
        <item m="1" x="997"/>
        <item x="452"/>
        <item x="126"/>
        <item m="1" x="866"/>
        <item x="229"/>
        <item m="1" x="1195"/>
        <item m="1" x="743"/>
        <item m="1" x="766"/>
        <item x="230"/>
        <item x="292"/>
        <item m="1" x="860"/>
        <item m="1" x="678"/>
        <item x="360"/>
        <item m="1" x="1030"/>
        <item x="278"/>
        <item m="1" x="973"/>
        <item m="1" x="1083"/>
        <item m="1" x="897"/>
        <item m="1" x="1178"/>
        <item x="42"/>
        <item m="1" x="610"/>
        <item m="1" x="955"/>
        <item m="1" x="1086"/>
        <item m="1" x="925"/>
        <item x="545"/>
        <item x="453"/>
        <item x="454"/>
        <item x="455"/>
        <item m="1" x="1144"/>
        <item m="1" x="628"/>
        <item m="1" x="671"/>
        <item x="94"/>
        <item m="1" x="1051"/>
        <item m="1" x="1237"/>
        <item x="12"/>
        <item x="546"/>
        <item m="1" x="775"/>
        <item x="456"/>
        <item m="1" x="1148"/>
        <item x="106"/>
        <item m="1" x="758"/>
        <item x="279"/>
        <item x="301"/>
        <item x="361"/>
        <item m="1" x="714"/>
        <item m="1" x="1101"/>
        <item m="1" x="974"/>
        <item x="457"/>
        <item m="1" x="627"/>
        <item x="164"/>
        <item m="1" x="629"/>
        <item x="458"/>
        <item x="231"/>
        <item x="232"/>
        <item x="13"/>
        <item m="1" x="1011"/>
        <item x="459"/>
        <item m="1" x="821"/>
        <item m="1" x="1123"/>
        <item x="280"/>
        <item m="1" x="908"/>
        <item m="1" x="1113"/>
        <item x="233"/>
        <item m="1" x="985"/>
        <item x="165"/>
        <item x="95"/>
        <item x="166"/>
        <item m="1" x="1199"/>
        <item m="1" x="1232"/>
        <item m="1" x="661"/>
        <item x="362"/>
        <item x="14"/>
        <item m="1" x="762"/>
        <item m="1" x="637"/>
        <item m="1" x="1275"/>
        <item x="460"/>
        <item m="1" x="806"/>
        <item x="512"/>
        <item x="386"/>
        <item m="1" x="921"/>
        <item x="107"/>
        <item x="234"/>
        <item m="1" x="711"/>
        <item m="1" x="1050"/>
        <item m="1" x="1095"/>
        <item m="1" x="816"/>
        <item x="363"/>
        <item x="235"/>
        <item m="1" x="638"/>
        <item x="387"/>
        <item m="1" x="1054"/>
        <item m="1" x="1014"/>
        <item m="1" x="1096"/>
        <item m="1" x="617"/>
        <item x="364"/>
        <item x="43"/>
        <item x="461"/>
        <item x="293"/>
        <item x="236"/>
        <item x="15"/>
        <item m="1" x="909"/>
        <item x="237"/>
        <item x="513"/>
        <item m="1" x="765"/>
        <item m="1" x="771"/>
        <item x="388"/>
        <item m="1" x="639"/>
        <item x="365"/>
        <item m="1" x="1209"/>
        <item x="462"/>
        <item m="1" x="577"/>
        <item x="54"/>
        <item x="55"/>
        <item x="317"/>
        <item x="463"/>
        <item m="1" x="630"/>
        <item m="1" x="844"/>
        <item x="167"/>
        <item m="1" x="693"/>
        <item m="1" x="654"/>
        <item m="1" x="922"/>
        <item x="238"/>
        <item m="1" x="1022"/>
        <item m="1" x="692"/>
        <item x="514"/>
        <item m="1" x="1256"/>
        <item x="515"/>
        <item x="127"/>
        <item m="1" x="1156"/>
        <item m="1" x="1262"/>
        <item m="1" x="740"/>
        <item m="1" x="733"/>
        <item m="1" x="841"/>
        <item x="96"/>
        <item m="1" x="1103"/>
        <item x="168"/>
        <item x="169"/>
        <item m="1" x="1061"/>
        <item x="71"/>
        <item x="108"/>
        <item x="281"/>
        <item m="1" x="1189"/>
        <item m="1" x="1183"/>
        <item x="239"/>
        <item x="240"/>
        <item m="1" x="822"/>
        <item x="241"/>
        <item m="1" x="605"/>
        <item x="318"/>
        <item m="1" x="1062"/>
        <item m="1" x="724"/>
        <item x="16"/>
        <item x="319"/>
        <item m="1" x="834"/>
        <item m="1" x="1031"/>
        <item m="1" x="1004"/>
        <item m="1" x="916"/>
        <item m="1" x="621"/>
        <item x="464"/>
        <item m="1" x="649"/>
        <item x="282"/>
        <item m="1" x="924"/>
        <item m="1" x="868"/>
        <item m="1" x="656"/>
        <item m="1" x="804"/>
        <item x="242"/>
        <item m="1" x="1008"/>
        <item x="56"/>
        <item x="465"/>
        <item x="466"/>
        <item m="1" x="1159"/>
        <item m="1" x="1185"/>
        <item m="1" x="1253"/>
        <item m="1" x="720"/>
        <item m="1" x="1140"/>
        <item x="243"/>
        <item m="1" x="767"/>
        <item m="1" x="689"/>
        <item m="1" x="751"/>
        <item x="467"/>
        <item m="1" x="1210"/>
        <item x="244"/>
        <item m="1" x="1019"/>
        <item m="1" x="873"/>
        <item x="17"/>
        <item x="567"/>
        <item m="1" x="1137"/>
        <item m="1" x="697"/>
        <item x="516"/>
        <item x="97"/>
        <item m="1" x="1097"/>
        <item x="547"/>
        <item m="1" x="993"/>
        <item m="1" x="600"/>
        <item x="302"/>
        <item x="517"/>
        <item m="1" x="738"/>
        <item x="468"/>
        <item m="1" x="675"/>
        <item x="44"/>
        <item x="469"/>
        <item m="1" x="1255"/>
        <item m="1" x="819"/>
        <item m="1" x="1161"/>
        <item m="1" x="872"/>
        <item m="1" x="1244"/>
        <item m="1" x="944"/>
        <item m="1" x="601"/>
        <item x="470"/>
        <item x="245"/>
        <item x="98"/>
        <item m="1" x="891"/>
        <item x="170"/>
        <item m="1" x="1034"/>
        <item m="1" x="1056"/>
        <item m="1" x="756"/>
        <item x="246"/>
        <item x="171"/>
        <item m="1" x="935"/>
        <item m="1" x="1044"/>
        <item x="548"/>
        <item m="1" x="615"/>
        <item m="1" x="1190"/>
        <item m="1" x="616"/>
        <item x="72"/>
        <item m="1" x="1055"/>
        <item m="1" x="870"/>
        <item m="1" x="932"/>
        <item x="109"/>
        <item m="1" x="1208"/>
        <item m="1" x="927"/>
        <item x="99"/>
        <item m="1" x="883"/>
        <item x="471"/>
        <item x="549"/>
        <item m="1" x="957"/>
        <item m="1" x="994"/>
        <item m="1" x="1127"/>
        <item m="1" x="700"/>
        <item m="1" x="1100"/>
        <item m="1" x="590"/>
        <item m="1" x="1164"/>
        <item m="1" x="943"/>
        <item m="1" x="980"/>
        <item x="366"/>
        <item m="1" x="849"/>
        <item m="1" x="971"/>
        <item x="100"/>
        <item m="1" x="1133"/>
        <item m="1" x="645"/>
        <item m="1" x="1179"/>
        <item m="1" x="1094"/>
        <item x="128"/>
        <item m="1" x="773"/>
        <item x="367"/>
        <item m="1" x="876"/>
        <item m="1" x="881"/>
        <item x="101"/>
        <item m="1" x="942"/>
        <item m="1" x="952"/>
        <item x="247"/>
        <item m="1" x="899"/>
        <item m="1" x="1198"/>
        <item m="1" x="760"/>
        <item m="1" x="953"/>
        <item x="389"/>
        <item x="248"/>
        <item m="1" x="1139"/>
        <item x="390"/>
        <item m="1" x="989"/>
        <item m="1" x="865"/>
        <item m="1" x="1084"/>
        <item m="1" x="836"/>
        <item x="172"/>
        <item m="1" x="919"/>
        <item x="283"/>
        <item x="45"/>
        <item x="173"/>
        <item x="518"/>
        <item x="18"/>
        <item m="1" x="732"/>
        <item x="294"/>
        <item m="1" x="1213"/>
        <item m="1" x="1175"/>
        <item m="1" x="1116"/>
        <item x="102"/>
        <item x="550"/>
        <item m="1" x="612"/>
        <item x="568"/>
        <item x="249"/>
        <item x="174"/>
        <item x="250"/>
        <item m="1" x="788"/>
        <item x="251"/>
        <item x="472"/>
        <item m="1" x="977"/>
        <item x="252"/>
        <item m="1" x="793"/>
        <item x="391"/>
        <item m="1" x="757"/>
        <item m="1" x="813"/>
        <item x="129"/>
        <item m="1" x="1021"/>
        <item m="1" x="583"/>
        <item x="253"/>
        <item m="1" x="1254"/>
        <item m="1" x="1149"/>
        <item x="254"/>
        <item x="303"/>
        <item x="368"/>
        <item m="1" x="911"/>
        <item m="1" x="1108"/>
        <item x="551"/>
        <item m="1" x="1187"/>
        <item m="1" x="998"/>
        <item m="1" x="1201"/>
        <item m="1" x="669"/>
        <item x="46"/>
        <item x="519"/>
        <item m="1" x="823"/>
        <item x="369"/>
        <item m="1" x="930"/>
        <item m="1" x="1150"/>
        <item x="552"/>
        <item x="370"/>
        <item m="1" x="923"/>
        <item x="255"/>
        <item m="1" x="1223"/>
        <item m="1" x="887"/>
        <item m="1" x="631"/>
        <item m="1" x="653"/>
        <item m="1" x="1206"/>
        <item x="381"/>
        <item m="1" x="1197"/>
        <item m="1" x="859"/>
        <item x="473"/>
        <item m="1" x="699"/>
        <item m="1" x="947"/>
        <item x="284"/>
        <item x="520"/>
        <item x="521"/>
        <item x="474"/>
        <item m="1" x="992"/>
        <item x="285"/>
        <item m="1" x="1154"/>
        <item m="1" x="929"/>
        <item m="1" x="1188"/>
        <item m="1" x="705"/>
        <item x="175"/>
        <item m="1" x="665"/>
        <item x="320"/>
        <item m="1" x="679"/>
        <item x="321"/>
        <item m="1" x="668"/>
        <item m="1" x="650"/>
        <item x="475"/>
        <item x="476"/>
        <item x="477"/>
        <item x="57"/>
        <item x="19"/>
        <item m="1" x="825"/>
        <item m="1" x="1249"/>
        <item m="1" x="880"/>
        <item m="1" x="1027"/>
        <item m="1" x="719"/>
        <item m="1" x="588"/>
        <item m="1" x="1130"/>
        <item m="1" x="1212"/>
        <item m="1" x="634"/>
        <item m="1" x="842"/>
        <item m="1" x="1214"/>
        <item m="1" x="1219"/>
        <item x="322"/>
        <item m="1" x="763"/>
        <item m="1" x="889"/>
        <item x="176"/>
        <item x="47"/>
        <item x="256"/>
        <item m="1" x="1248"/>
        <item x="522"/>
        <item x="478"/>
        <item x="371"/>
        <item x="569"/>
        <item x="178"/>
        <item x="179"/>
        <item m="1" x="722"/>
        <item x="323"/>
        <item x="180"/>
        <item x="110"/>
        <item m="1" x="840"/>
        <item x="479"/>
        <item m="1" x="1158"/>
        <item x="177"/>
        <item m="1" x="972"/>
        <item x="20"/>
        <item x="286"/>
        <item m="1" x="680"/>
        <item x="21"/>
        <item x="480"/>
        <item m="1" x="982"/>
        <item m="1" x="647"/>
        <item m="1" x="963"/>
        <item m="1" x="576"/>
        <item m="1" x="1246"/>
        <item x="481"/>
        <item x="372"/>
        <item x="257"/>
        <item x="103"/>
        <item x="570"/>
        <item x="373"/>
        <item x="258"/>
        <item m="1" x="685"/>
        <item m="1" x="914"/>
        <item m="1" x="674"/>
        <item x="22"/>
        <item m="1" x="1041"/>
        <item m="1" x="754"/>
        <item x="482"/>
        <item m="1" x="830"/>
        <item x="111"/>
        <item x="23"/>
        <item m="1" x="835"/>
        <item m="1" x="646"/>
        <item m="1" x="666"/>
        <item x="130"/>
        <item m="1" x="1047"/>
        <item m="1" x="706"/>
        <item m="1" x="934"/>
        <item m="1" x="695"/>
        <item x="259"/>
        <item m="1" x="1065"/>
        <item x="73"/>
        <item m="1" x="890"/>
        <item x="523"/>
        <item m="1" x="1063"/>
        <item m="1" x="1155"/>
        <item m="1" x="1119"/>
        <item x="374"/>
        <item x="260"/>
        <item x="131"/>
        <item x="483"/>
        <item m="1" x="805"/>
        <item m="1" x="811"/>
        <item m="1" x="1234"/>
        <item x="524"/>
        <item m="1" x="857"/>
        <item x="324"/>
        <item m="1" x="1134"/>
        <item x="325"/>
        <item m="1" x="1053"/>
        <item x="571"/>
        <item m="1" x="1105"/>
        <item x="261"/>
        <item m="1" x="753"/>
        <item x="553"/>
        <item x="24"/>
        <item m="1" x="1151"/>
        <item x="262"/>
        <item x="25"/>
        <item m="1" x="847"/>
        <item m="1" x="795"/>
        <item m="1" x="824"/>
        <item m="1" x="960"/>
        <item x="112"/>
        <item m="1" x="609"/>
        <item x="525"/>
        <item m="1" x="851"/>
        <item m="1" x="1160"/>
        <item x="263"/>
        <item x="326"/>
        <item x="48"/>
        <item m="1" x="951"/>
        <item m="1" x="1020"/>
        <item x="26"/>
        <item x="375"/>
        <item x="49"/>
        <item m="1" x="815"/>
        <item m="1" x="948"/>
        <item x="27"/>
        <item m="1" x="983"/>
        <item m="1" x="580"/>
        <item x="287"/>
        <item x="382"/>
        <item m="1" x="1110"/>
        <item m="1" x="885"/>
        <item m="1" x="636"/>
        <item m="1" x="1104"/>
        <item x="288"/>
        <item m="1" x="662"/>
        <item m="1" x="659"/>
        <item m="1" x="585"/>
        <item m="1" x="1122"/>
        <item m="1" x="950"/>
        <item x="526"/>
        <item x="484"/>
        <item m="1" x="770"/>
        <item x="264"/>
        <item m="1" x="845"/>
        <item x="58"/>
        <item x="485"/>
        <item m="1" x="1028"/>
        <item x="376"/>
        <item m="1" x="901"/>
        <item x="377"/>
        <item m="1" x="715"/>
        <item m="1" x="954"/>
        <item m="1" x="1252"/>
        <item m="1" x="1173"/>
        <item x="113"/>
        <item m="1" x="1068"/>
        <item m="1" x="797"/>
        <item m="1" x="886"/>
        <item x="378"/>
        <item m="1" x="939"/>
        <item m="1" x="987"/>
        <item m="1" x="1057"/>
        <item m="1" x="855"/>
        <item m="1" x="961"/>
        <item m="1" x="978"/>
        <item m="1" x="1120"/>
        <item m="1" x="681"/>
        <item x="486"/>
        <item m="1" x="1072"/>
        <item x="487"/>
        <item x="59"/>
        <item x="265"/>
        <item m="1" x="1227"/>
        <item x="488"/>
        <item x="266"/>
        <item x="527"/>
        <item x="267"/>
        <item m="1" x="644"/>
        <item x="268"/>
        <item x="28"/>
        <item x="181"/>
        <item x="489"/>
        <item m="1" x="869"/>
      </items>
    </pivotField>
    <pivotField axis="axisRow" compact="0" outline="0" showAll="0" defaultSubtotal="0">
      <items count="694">
        <item m="1" x="609"/>
        <item x="348"/>
        <item m="1" x="551"/>
        <item x="78"/>
        <item x="73"/>
        <item x="48"/>
        <item x="79"/>
        <item x="55"/>
        <item m="1" x="555"/>
        <item x="158"/>
        <item x="38"/>
        <item m="1" x="486"/>
        <item m="1" x="493"/>
        <item m="1" x="663"/>
        <item x="343"/>
        <item x="298"/>
        <item x="177"/>
        <item x="85"/>
        <item x="76"/>
        <item m="1" x="422"/>
        <item x="58"/>
        <item m="1" x="432"/>
        <item x="130"/>
        <item m="1" x="527"/>
        <item m="1" x="503"/>
        <item x="28"/>
        <item x="29"/>
        <item m="1" x="652"/>
        <item m="1" x="487"/>
        <item x="26"/>
        <item x="207"/>
        <item m="1" x="668"/>
        <item m="1" x="550"/>
        <item m="1" x="421"/>
        <item m="1" x="670"/>
        <item x="81"/>
        <item x="30"/>
        <item m="1" x="420"/>
        <item x="50"/>
        <item x="367"/>
        <item x="3"/>
        <item x="250"/>
        <item m="1" x="608"/>
        <item m="1" x="660"/>
        <item x="53"/>
        <item m="1" x="498"/>
        <item x="110"/>
        <item m="1" x="458"/>
        <item x="44"/>
        <item x="234"/>
        <item x="2"/>
        <item x="146"/>
        <item x="311"/>
        <item m="1" x="576"/>
        <item x="175"/>
        <item m="1" x="641"/>
        <item x="249"/>
        <item x="32"/>
        <item x="70"/>
        <item m="1" x="621"/>
        <item x="21"/>
        <item m="1" x="571"/>
        <item x="223"/>
        <item m="1" x="639"/>
        <item x="365"/>
        <item m="1" x="528"/>
        <item x="59"/>
        <item m="1" x="474"/>
        <item x="57"/>
        <item m="1" x="638"/>
        <item x="9"/>
        <item x="402"/>
        <item x="7"/>
        <item x="344"/>
        <item x="40"/>
        <item x="60"/>
        <item m="1" x="481"/>
        <item m="1" x="657"/>
        <item x="247"/>
        <item m="1" x="512"/>
        <item m="1" x="476"/>
        <item x="39"/>
        <item x="115"/>
        <item m="1" x="614"/>
        <item m="1" x="456"/>
        <item x="322"/>
        <item x="196"/>
        <item x="145"/>
        <item x="217"/>
        <item x="283"/>
        <item m="1" x="587"/>
        <item x="101"/>
        <item x="136"/>
        <item m="1" x="507"/>
        <item x="6"/>
        <item x="41"/>
        <item m="1" x="629"/>
        <item x="91"/>
        <item m="1" x="659"/>
        <item m="1" x="654"/>
        <item x="64"/>
        <item m="1" x="547"/>
        <item x="19"/>
        <item x="170"/>
        <item x="318"/>
        <item m="1" x="423"/>
        <item x="273"/>
        <item x="113"/>
        <item x="213"/>
        <item x="111"/>
        <item x="184"/>
        <item x="82"/>
        <item x="52"/>
        <item x="139"/>
        <item m="1" x="414"/>
        <item x="8"/>
        <item x="214"/>
        <item x="119"/>
        <item x="243"/>
        <item x="279"/>
        <item x="264"/>
        <item x="263"/>
        <item x="149"/>
        <item x="173"/>
        <item m="1" x="463"/>
        <item x="281"/>
        <item m="1" x="643"/>
        <item x="51"/>
        <item x="56"/>
        <item m="1" x="615"/>
        <item x="291"/>
        <item m="1" x="506"/>
        <item x="338"/>
        <item x="152"/>
        <item x="68"/>
        <item x="342"/>
        <item x="151"/>
        <item x="203"/>
        <item x="262"/>
        <item x="116"/>
        <item m="1" x="537"/>
        <item m="1" x="536"/>
        <item m="1" x="552"/>
        <item x="114"/>
        <item m="1" x="579"/>
        <item m="1" x="443"/>
        <item m="1" x="467"/>
        <item m="1" x="516"/>
        <item x="11"/>
        <item x="193"/>
        <item x="80"/>
        <item x="157"/>
        <item x="174"/>
        <item x="361"/>
        <item x="36"/>
        <item x="18"/>
        <item m="1" x="662"/>
        <item x="77"/>
        <item x="24"/>
        <item x="42"/>
        <item x="319"/>
        <item x="17"/>
        <item x="14"/>
        <item x="97"/>
        <item m="1" x="667"/>
        <item x="374"/>
        <item x="22"/>
        <item x="112"/>
        <item x="238"/>
        <item m="1" x="556"/>
        <item m="1" x="647"/>
        <item x="240"/>
        <item m="1" x="656"/>
        <item m="1" x="594"/>
        <item x="33"/>
        <item x="287"/>
        <item m="1" x="526"/>
        <item x="288"/>
        <item m="1" x="505"/>
        <item x="128"/>
        <item x="61"/>
        <item x="37"/>
        <item m="1" x="604"/>
        <item x="1"/>
        <item x="295"/>
        <item x="172"/>
        <item x="147"/>
        <item m="1" x="601"/>
        <item m="1" x="632"/>
        <item m="1" x="554"/>
        <item x="226"/>
        <item x="104"/>
        <item m="1" x="535"/>
        <item m="1" x="525"/>
        <item x="355"/>
        <item x="286"/>
        <item m="1" x="676"/>
        <item x="242"/>
        <item m="1" x="675"/>
        <item x="309"/>
        <item x="140"/>
        <item m="1" x="693"/>
        <item x="181"/>
        <item x="90"/>
        <item x="84"/>
        <item m="1" x="674"/>
        <item m="1" x="563"/>
        <item x="359"/>
        <item x="25"/>
        <item m="1" x="649"/>
        <item x="23"/>
        <item x="137"/>
        <item m="1" x="605"/>
        <item m="1" x="650"/>
        <item m="1" x="567"/>
        <item m="1" x="430"/>
        <item x="190"/>
        <item m="1" x="628"/>
        <item x="54"/>
        <item x="94"/>
        <item m="1" x="413"/>
        <item x="244"/>
        <item m="1" x="426"/>
        <item x="277"/>
        <item x="88"/>
        <item m="1" x="684"/>
        <item m="1" x="689"/>
        <item m="1" x="490"/>
        <item m="1" x="473"/>
        <item m="1" x="635"/>
        <item m="1" x="630"/>
        <item m="1" x="570"/>
        <item m="1" x="489"/>
        <item m="1" x="425"/>
        <item x="102"/>
        <item m="1" x="611"/>
        <item m="1" x="626"/>
        <item x="222"/>
        <item m="1" x="682"/>
        <item m="1" x="665"/>
        <item x="323"/>
        <item m="1" x="583"/>
        <item m="1" x="470"/>
        <item x="202"/>
        <item m="1" x="624"/>
        <item m="1" x="586"/>
        <item m="1" x="619"/>
        <item m="1" x="546"/>
        <item x="248"/>
        <item x="266"/>
        <item m="1" x="442"/>
        <item m="1" x="513"/>
        <item m="1" x="548"/>
        <item m="1" x="428"/>
        <item m="1" x="581"/>
        <item x="299"/>
        <item m="1" x="640"/>
        <item m="1" x="622"/>
        <item m="1" x="584"/>
        <item x="315"/>
        <item x="271"/>
        <item m="1" x="478"/>
        <item m="1" x="544"/>
        <item x="386"/>
        <item x="47"/>
        <item m="1" x="580"/>
        <item m="1" x="598"/>
        <item x="340"/>
        <item m="1" x="589"/>
        <item m="1" x="418"/>
        <item m="1" x="618"/>
        <item x="194"/>
        <item m="1" x="591"/>
        <item m="1" x="492"/>
        <item m="1" x="625"/>
        <item x="292"/>
        <item x="294"/>
        <item x="62"/>
        <item m="1" x="521"/>
        <item x="317"/>
        <item m="1" x="515"/>
        <item x="100"/>
        <item m="1" x="541"/>
        <item m="1" x="437"/>
        <item m="1" x="645"/>
        <item m="1" x="612"/>
        <item m="1" x="479"/>
        <item m="1" x="499"/>
        <item m="1" x="603"/>
        <item m="1" x="606"/>
        <item m="1" x="582"/>
        <item m="1" x="427"/>
        <item m="1" x="514"/>
        <item m="1" x="457"/>
        <item m="1" x="690"/>
        <item m="1" x="500"/>
        <item m="1" x="450"/>
        <item m="1" x="573"/>
        <item x="171"/>
        <item m="1" x="561"/>
        <item m="1" x="447"/>
        <item m="1" x="692"/>
        <item x="265"/>
        <item m="1" x="564"/>
        <item m="1" x="631"/>
        <item m="1" x="482"/>
        <item m="1" x="517"/>
        <item x="63"/>
        <item x="206"/>
        <item m="1" x="419"/>
        <item m="1" x="613"/>
        <item x="272"/>
        <item x="285"/>
        <item x="180"/>
        <item m="1" x="511"/>
        <item x="72"/>
        <item x="268"/>
        <item x="49"/>
        <item m="1" x="644"/>
        <item m="1" x="568"/>
        <item x="349"/>
        <item m="1" x="600"/>
        <item m="1" x="559"/>
        <item m="1" x="588"/>
        <item m="1" x="595"/>
        <item m="1" x="429"/>
        <item m="1" x="465"/>
        <item m="1" x="483"/>
        <item x="179"/>
        <item x="74"/>
        <item m="1" x="464"/>
        <item x="409"/>
        <item x="191"/>
        <item x="215"/>
        <item m="1" x="683"/>
        <item x="395"/>
        <item m="1" x="508"/>
        <item m="1" x="545"/>
        <item m="1" x="565"/>
        <item m="1" x="496"/>
        <item m="1" x="441"/>
        <item m="1" x="501"/>
        <item m="1" x="575"/>
        <item x="164"/>
        <item m="1" x="672"/>
        <item m="1" x="520"/>
        <item x="129"/>
        <item m="1" x="616"/>
        <item m="1" x="434"/>
        <item m="1" x="661"/>
        <item m="1" x="592"/>
        <item m="1" x="475"/>
        <item m="1" x="664"/>
        <item m="1" x="484"/>
        <item m="1" x="446"/>
        <item m="1" x="469"/>
        <item m="1" x="495"/>
        <item x="245"/>
        <item m="1" x="658"/>
        <item m="1" x="679"/>
        <item m="1" x="651"/>
        <item x="209"/>
        <item m="1" x="411"/>
        <item x="148"/>
        <item m="1" x="502"/>
        <item m="1" x="524"/>
        <item x="320"/>
        <item x="383"/>
        <item x="408"/>
        <item x="332"/>
        <item m="1" x="529"/>
        <item m="1" x="530"/>
        <item m="1" x="557"/>
        <item m="1" x="412"/>
        <item m="1" x="461"/>
        <item m="1" x="518"/>
        <item m="1" x="471"/>
        <item m="1" x="532"/>
        <item x="236"/>
        <item x="127"/>
        <item m="1" x="439"/>
        <item m="1" x="681"/>
        <item m="1" x="533"/>
        <item m="1" x="633"/>
        <item m="1" x="574"/>
        <item m="1" x="543"/>
        <item m="1" x="585"/>
        <item m="1" x="459"/>
        <item m="1" x="462"/>
        <item m="1" x="602"/>
        <item m="1" x="538"/>
        <item x="260"/>
        <item m="1" x="596"/>
        <item m="1" x="460"/>
        <item m="1" x="417"/>
        <item x="378"/>
        <item m="1" x="637"/>
        <item x="83"/>
        <item x="241"/>
        <item x="159"/>
        <item x="144"/>
        <item m="1" x="646"/>
        <item m="1" x="572"/>
        <item m="1" x="440"/>
        <item x="107"/>
        <item x="108"/>
        <item m="1" x="509"/>
        <item m="1" x="444"/>
        <item x="125"/>
        <item x="69"/>
        <item m="1" x="531"/>
        <item m="1" x="678"/>
        <item m="1" x="410"/>
        <item x="301"/>
        <item x="201"/>
        <item m="1" x="680"/>
        <item m="1" x="597"/>
        <item m="1" x="542"/>
        <item x="92"/>
        <item m="1" x="566"/>
        <item m="1" x="433"/>
        <item x="135"/>
        <item x="89"/>
        <item x="372"/>
        <item m="1" x="623"/>
        <item m="1" x="627"/>
        <item m="1" x="453"/>
        <item m="1" x="519"/>
        <item x="284"/>
        <item x="227"/>
        <item m="1" x="424"/>
        <item m="1" x="685"/>
        <item x="118"/>
        <item m="1" x="448"/>
        <item m="1" x="436"/>
        <item m="1" x="599"/>
        <item m="1" x="449"/>
        <item x="154"/>
        <item m="1" x="549"/>
        <item m="1" x="578"/>
        <item x="162"/>
        <item m="1" x="539"/>
        <item m="1" x="620"/>
        <item m="1" x="523"/>
        <item m="1" x="466"/>
        <item m="1" x="451"/>
        <item m="1" x="648"/>
        <item m="1" x="415"/>
        <item m="1" x="553"/>
        <item x="124"/>
        <item x="327"/>
        <item x="335"/>
        <item x="396"/>
        <item m="1" x="452"/>
        <item x="131"/>
        <item x="363"/>
        <item m="1" x="617"/>
        <item m="1" x="438"/>
        <item x="387"/>
        <item x="67"/>
        <item x="87"/>
        <item x="117"/>
        <item x="394"/>
        <item x="220"/>
        <item x="221"/>
        <item x="98"/>
        <item m="1" x="577"/>
        <item x="293"/>
        <item x="313"/>
        <item m="1" x="504"/>
        <item x="404"/>
        <item x="407"/>
        <item m="1" x="435"/>
        <item m="1" x="688"/>
        <item m="1" x="634"/>
        <item x="46"/>
        <item x="65"/>
        <item x="66"/>
        <item m="1" x="636"/>
        <item x="43"/>
        <item m="1" x="534"/>
        <item m="1" x="522"/>
        <item x="167"/>
        <item m="1" x="488"/>
        <item x="187"/>
        <item x="188"/>
        <item m="1" x="610"/>
        <item x="199"/>
        <item m="1" x="590"/>
        <item m="1" x="497"/>
        <item x="233"/>
        <item x="235"/>
        <item x="239"/>
        <item x="258"/>
        <item m="1" x="593"/>
        <item m="1" x="686"/>
        <item m="1" x="472"/>
        <item m="1" x="491"/>
        <item m="1" x="666"/>
        <item x="278"/>
        <item m="1" x="669"/>
        <item x="329"/>
        <item m="1" x="540"/>
        <item x="306"/>
        <item x="312"/>
        <item x="231"/>
        <item x="333"/>
        <item x="334"/>
        <item x="352"/>
        <item m="1" x="510"/>
        <item m="1" x="653"/>
        <item x="399"/>
        <item x="406"/>
        <item x="377"/>
        <item m="1" x="485"/>
        <item x="182"/>
        <item x="314"/>
        <item m="1" x="468"/>
        <item x="165"/>
        <item m="1" x="416"/>
        <item m="1" x="558"/>
        <item m="1" x="455"/>
        <item m="1" x="687"/>
        <item x="132"/>
        <item m="1" x="445"/>
        <item x="251"/>
        <item m="1" x="480"/>
        <item m="1" x="454"/>
        <item m="1" x="560"/>
        <item x="307"/>
        <item m="1" x="477"/>
        <item m="1" x="671"/>
        <item x="0"/>
        <item m="1" x="607"/>
        <item m="1" x="691"/>
        <item m="1" x="494"/>
        <item x="228"/>
        <item x="229"/>
        <item m="1" x="562"/>
        <item m="1" x="655"/>
        <item m="1" x="642"/>
        <item m="1" x="431"/>
        <item x="166"/>
        <item x="382"/>
        <item x="195"/>
        <item x="290"/>
        <item x="216"/>
        <item m="1" x="569"/>
        <item m="1" x="673"/>
        <item x="4"/>
        <item x="5"/>
        <item x="10"/>
        <item x="20"/>
        <item x="71"/>
        <item x="109"/>
        <item m="1" x="677"/>
        <item x="310"/>
        <item x="358"/>
        <item x="369"/>
        <item x="373"/>
        <item x="375"/>
        <item x="391"/>
        <item x="31"/>
        <item x="35"/>
        <item x="75"/>
        <item x="86"/>
        <item x="95"/>
        <item x="96"/>
        <item x="99"/>
        <item x="103"/>
        <item x="120"/>
        <item x="122"/>
        <item x="126"/>
        <item x="133"/>
        <item x="134"/>
        <item x="138"/>
        <item x="141"/>
        <item x="142"/>
        <item x="143"/>
        <item x="153"/>
        <item x="160"/>
        <item x="161"/>
        <item x="169"/>
        <item x="176"/>
        <item x="185"/>
        <item x="189"/>
        <item x="192"/>
        <item x="198"/>
        <item x="200"/>
        <item x="204"/>
        <item x="205"/>
        <item x="210"/>
        <item x="212"/>
        <item x="218"/>
        <item x="219"/>
        <item x="224"/>
        <item x="225"/>
        <item x="230"/>
        <item x="254"/>
        <item x="257"/>
        <item x="267"/>
        <item x="270"/>
        <item x="274"/>
        <item x="275"/>
        <item x="276"/>
        <item x="302"/>
        <item x="303"/>
        <item x="304"/>
        <item x="305"/>
        <item x="308"/>
        <item x="321"/>
        <item x="336"/>
        <item x="346"/>
        <item x="366"/>
        <item x="371"/>
        <item x="376"/>
        <item x="379"/>
        <item x="384"/>
        <item x="388"/>
        <item x="400"/>
        <item x="401"/>
        <item x="403"/>
        <item x="405"/>
        <item x="34"/>
        <item x="197"/>
        <item x="246"/>
        <item x="256"/>
        <item x="282"/>
        <item x="289"/>
        <item x="296"/>
        <item x="297"/>
        <item x="316"/>
        <item x="326"/>
        <item x="328"/>
        <item x="370"/>
        <item x="121"/>
        <item x="155"/>
        <item x="252"/>
        <item x="253"/>
        <item x="150"/>
        <item x="390"/>
        <item x="211"/>
        <item x="337"/>
        <item x="339"/>
        <item x="357"/>
        <item x="12"/>
        <item x="13"/>
        <item x="15"/>
        <item x="16"/>
        <item x="27"/>
        <item x="45"/>
        <item x="123"/>
        <item x="156"/>
        <item x="232"/>
        <item x="237"/>
        <item x="364"/>
        <item x="385"/>
        <item x="389"/>
        <item x="398"/>
        <item x="93"/>
        <item x="105"/>
        <item x="106"/>
        <item x="163"/>
        <item x="168"/>
        <item x="178"/>
        <item x="183"/>
        <item x="186"/>
        <item x="208"/>
        <item x="255"/>
        <item x="259"/>
        <item x="261"/>
        <item x="269"/>
        <item x="280"/>
        <item x="300"/>
        <item x="324"/>
        <item x="325"/>
        <item x="330"/>
        <item x="331"/>
        <item x="341"/>
        <item x="345"/>
        <item x="347"/>
        <item x="350"/>
        <item x="351"/>
        <item x="353"/>
        <item x="354"/>
        <item x="356"/>
        <item x="360"/>
        <item x="362"/>
        <item x="368"/>
        <item x="380"/>
        <item x="381"/>
        <item x="392"/>
        <item x="393"/>
        <item x="397"/>
      </items>
    </pivotField>
    <pivotField compact="0" numFmtId="3" outline="0" showAll="0" defaultSubtotal="0"/>
    <pivotField compact="0" numFmtId="3" outline="0" showAll="0" defaultSubtotal="0"/>
    <pivotField axis="axisRow" compact="0" outline="0" showAll="0" defaultSubtotal="0">
      <items count="25">
        <item x="1"/>
        <item m="1" x="6"/>
        <item m="1" x="17"/>
        <item m="1" x="5"/>
        <item m="1" x="19"/>
        <item m="1" x="18"/>
        <item m="1" x="20"/>
        <item m="1" x="4"/>
        <item m="1" x="16"/>
        <item m="1" x="9"/>
        <item m="1" x="22"/>
        <item m="1" x="14"/>
        <item m="1" x="15"/>
        <item m="1" x="8"/>
        <item m="1" x="21"/>
        <item m="1" x="24"/>
        <item m="1" x="7"/>
        <item m="1" x="10"/>
        <item m="1" x="13"/>
        <item m="1" x="23"/>
        <item m="1" x="12"/>
        <item m="1" x="11"/>
        <item m="1" x="3"/>
        <item m="1" x="2"/>
        <item x="0"/>
      </items>
    </pivotField>
  </pivotFields>
  <rowFields count="4">
    <field x="2"/>
    <field x="3"/>
    <field x="1"/>
    <field x="6"/>
  </rowFields>
  <rowItems count="31">
    <i>
      <x v="32"/>
      <x v="532"/>
      <x/>
      <x v="24"/>
    </i>
    <i>
      <x v="50"/>
      <x v="183"/>
      <x v="1"/>
      <x/>
    </i>
    <i>
      <x v="126"/>
      <x v="50"/>
      <x v="2"/>
      <x/>
    </i>
    <i>
      <x v="207"/>
      <x v="40"/>
      <x v="3"/>
      <x/>
    </i>
    <i>
      <x v="219"/>
      <x v="549"/>
      <x v="4"/>
      <x v="24"/>
    </i>
    <i r="1">
      <x v="550"/>
      <x v="5"/>
      <x v="24"/>
    </i>
    <i>
      <x v="309"/>
      <x v="94"/>
      <x v="6"/>
      <x v="24"/>
    </i>
    <i>
      <x v="357"/>
      <x v="72"/>
      <x v="7"/>
      <x/>
    </i>
    <i>
      <x v="420"/>
      <x v="115"/>
      <x v="8"/>
      <x/>
    </i>
    <i>
      <x v="454"/>
      <x v="70"/>
      <x v="9"/>
      <x/>
    </i>
    <i>
      <x v="467"/>
      <x v="551"/>
      <x v="10"/>
      <x v="24"/>
    </i>
    <i>
      <x v="495"/>
      <x v="148"/>
      <x v="11"/>
      <x v="24"/>
    </i>
    <i>
      <x v="668"/>
      <x v="40"/>
      <x v="12"/>
      <x/>
    </i>
    <i>
      <x v="773"/>
      <x v="645"/>
      <x v="13"/>
      <x/>
    </i>
    <i>
      <x v="793"/>
      <x v="162"/>
      <x v="15"/>
      <x/>
    </i>
    <i r="1">
      <x v="646"/>
      <x v="14"/>
      <x/>
    </i>
    <i>
      <x v="810"/>
      <x v="647"/>
      <x v="16"/>
      <x/>
    </i>
    <i>
      <x v="838"/>
      <x v="648"/>
      <x v="17"/>
      <x/>
    </i>
    <i>
      <x v="890"/>
      <x v="161"/>
      <x v="18"/>
      <x v="24"/>
    </i>
    <i>
      <x v="923"/>
      <x v="155"/>
      <x v="19"/>
      <x v="24"/>
    </i>
    <i>
      <x v="1018"/>
      <x v="102"/>
      <x v="20"/>
      <x/>
    </i>
    <i>
      <x v="1098"/>
      <x v="552"/>
      <x v="21"/>
      <x/>
    </i>
    <i>
      <x v="1133"/>
      <x v="60"/>
      <x v="22"/>
      <x/>
    </i>
    <i>
      <x v="1136"/>
      <x v="166"/>
      <x v="23"/>
      <x/>
    </i>
    <i>
      <x v="1153"/>
      <x v="210"/>
      <x v="24"/>
      <x/>
    </i>
    <i>
      <x v="1159"/>
      <x v="158"/>
      <x v="25"/>
      <x/>
    </i>
    <i>
      <x v="1194"/>
      <x v="60"/>
      <x v="26"/>
      <x/>
    </i>
    <i>
      <x v="1197"/>
      <x v="208"/>
      <x v="27"/>
      <x v="24"/>
    </i>
    <i>
      <x v="1212"/>
      <x v="552"/>
      <x v="28"/>
      <x/>
    </i>
    <i>
      <x v="1217"/>
      <x v="29"/>
      <x v="29"/>
      <x/>
    </i>
    <i>
      <x v="1272"/>
      <x v="649"/>
      <x v="30"/>
      <x/>
    </i>
  </rowItems>
  <colItems count="1">
    <i/>
  </colItems>
  <pageFields count="1">
    <pageField fld="0" item="0" hier="-1"/>
  </pageFields>
  <formats count="8">
    <format dxfId="121">
      <pivotArea dataOnly="0" labelOnly="1" outline="0" fieldPosition="0">
        <references count="1">
          <reference field="2" count="0"/>
        </references>
      </pivotArea>
    </format>
    <format dxfId="120">
      <pivotArea field="2" type="button" dataOnly="0" labelOnly="1" outline="0" axis="axisRow" fieldPosition="0"/>
    </format>
    <format dxfId="119">
      <pivotArea field="3" type="button" dataOnly="0" labelOnly="1" outline="0" axis="axisRow" fieldPosition="1"/>
    </format>
    <format dxfId="118">
      <pivotArea field="1" type="button" dataOnly="0" labelOnly="1" outline="0" axis="axisRow" fieldPosition="2"/>
    </format>
    <format dxfId="117">
      <pivotArea field="0" type="button" dataOnly="0" labelOnly="1" outline="0" axis="axisPage" fieldPosition="0"/>
    </format>
    <format dxfId="116">
      <pivotArea dataOnly="0" labelOnly="1" outline="0" fieldPosition="0">
        <references count="1">
          <reference field="0" count="1">
            <x v="0"/>
          </reference>
        </references>
      </pivotArea>
    </format>
    <format dxfId="115">
      <pivotArea field="0" type="button" dataOnly="0" labelOnly="1" outline="0" axis="axisPage" fieldPosition="0"/>
    </format>
    <format dxfId="114">
      <pivotArea dataOnly="0" labelOnly="1" outline="0" fieldPosition="0">
        <references count="1">
          <reference field="1" count="0"/>
        </references>
      </pivotArea>
    </format>
  </formats>
  <pivotTableStyleInfo name="PivotStyleMedium7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A00-000005000000}" name="Tableau croisé dynamique6" cacheId="0" applyNumberFormats="0" applyBorderFormats="0" applyFontFormats="0" applyPatternFormats="0" applyAlignmentFormats="0" applyWidthHeightFormats="1" dataCaption="Valeurs" updatedVersion="8" minRefreshableVersion="3" showDrill="0" showDataTips="0" rowGrandTotals="0" colGrandTotals="0" itemPrintTitles="1" createdVersion="5" indent="0" compact="0" compactData="0" multipleFieldFilters="0">
  <location ref="AC18:AF18" firstHeaderRow="1" firstDataRow="1" firstDataCol="4" rowPageCount="1" colPageCount="1"/>
  <pivotFields count="7">
    <pivotField axis="axisPage" compact="0" outline="0" multipleItemSelectionAllowed="1" showAll="0">
      <items count="37">
        <item h="1" x="0"/>
        <item h="1" x="1"/>
        <item h="1" x="2"/>
        <item h="1" m="1" x="34"/>
        <item h="1" x="3"/>
        <item h="1" x="4"/>
        <item h="1" x="5"/>
        <item h="1" x="6"/>
        <item h="1" m="1" x="29"/>
        <item h="1" x="7"/>
        <item h="1" x="8"/>
        <item h="1" m="1" x="27"/>
        <item h="1" x="10"/>
        <item h="1" m="1" x="23"/>
        <item h="1" x="11"/>
        <item h="1" m="1" x="35"/>
        <item h="1" x="12"/>
        <item h="1" x="13"/>
        <item h="1" x="15"/>
        <item h="1" m="1" x="31"/>
        <item h="1" m="1" x="21"/>
        <item h="1" x="16"/>
        <item h="1" x="17"/>
        <item h="1" x="18"/>
        <item h="1" x="19"/>
        <item h="1" m="1" x="24"/>
        <item h="1" m="1" x="28"/>
        <item h="1" x="9"/>
        <item h="1" m="1" x="25"/>
        <item h="1" m="1" x="30"/>
        <item h="1" x="14"/>
        <item h="1" m="1" x="26"/>
        <item h="1" m="1" x="32"/>
        <item h="1" m="1" x="22"/>
        <item h="1" m="1" x="20"/>
        <item h="1" m="1" x="33"/>
        <item t="default"/>
      </items>
    </pivotField>
    <pivotField name="Code" axis="axisRow" compact="0" outline="0" showAll="0" defaultSubtotal="0">
      <items count="12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</items>
    </pivotField>
    <pivotField axis="axisRow" compact="0" outline="0" showAll="0" sortType="ascending" defaultSubtotal="0">
      <items count="1276">
        <item x="29"/>
        <item m="1" x="728"/>
        <item x="392"/>
        <item x="393"/>
        <item m="1" x="807"/>
        <item m="1" x="624"/>
        <item x="394"/>
        <item m="1" x="596"/>
        <item x="327"/>
        <item x="528"/>
        <item x="328"/>
        <item m="1" x="832"/>
        <item m="1" x="1184"/>
        <item x="74"/>
        <item m="1" x="676"/>
        <item m="1" x="867"/>
        <item m="1" x="1015"/>
        <item x="329"/>
        <item x="132"/>
        <item x="182"/>
        <item x="60"/>
        <item x="61"/>
        <item m="1" x="1089"/>
        <item m="1" x="658"/>
        <item m="1" x="1217"/>
        <item m="1" x="1039"/>
        <item x="330"/>
        <item m="1" x="721"/>
        <item m="1" x="606"/>
        <item m="1" x="828"/>
        <item m="1" x="688"/>
        <item m="1" x="712"/>
        <item x="0"/>
        <item x="490"/>
        <item m="1" x="1064"/>
        <item m="1" x="918"/>
        <item x="331"/>
        <item m="1" x="611"/>
        <item m="1" x="1035"/>
        <item x="183"/>
        <item m="1" x="975"/>
        <item m="1" x="587"/>
        <item x="133"/>
        <item m="1" x="1222"/>
        <item m="1" x="1066"/>
        <item m="1" x="1025"/>
        <item m="1" x="1200"/>
        <item x="529"/>
        <item m="1" x="945"/>
        <item m="1" x="1271"/>
        <item x="1"/>
        <item x="30"/>
        <item m="1" x="1265"/>
        <item m="1" x="902"/>
        <item x="395"/>
        <item x="184"/>
        <item m="1" x="776"/>
        <item x="75"/>
        <item m="1" x="1017"/>
        <item x="31"/>
        <item m="1" x="1247"/>
        <item m="1" x="744"/>
        <item x="185"/>
        <item m="1" x="731"/>
        <item m="1" x="1258"/>
        <item x="186"/>
        <item m="1" x="737"/>
        <item x="269"/>
        <item x="134"/>
        <item x="332"/>
        <item m="1" x="1257"/>
        <item m="1" x="991"/>
        <item x="289"/>
        <item x="76"/>
        <item m="1" x="641"/>
        <item m="1" x="915"/>
        <item m="1" x="1109"/>
        <item x="187"/>
        <item m="1" x="906"/>
        <item m="1" x="746"/>
        <item m="1" x="690"/>
        <item m="1" x="933"/>
        <item m="1" x="1191"/>
        <item m="1" x="1250"/>
        <item m="1" x="1049"/>
        <item x="114"/>
        <item x="135"/>
        <item x="188"/>
        <item m="1" x="582"/>
        <item x="136"/>
        <item x="137"/>
        <item m="1" x="726"/>
        <item x="32"/>
        <item m="1" x="597"/>
        <item m="1" x="1220"/>
        <item x="270"/>
        <item m="1" x="864"/>
        <item m="1" x="591"/>
        <item x="290"/>
        <item m="1" x="940"/>
        <item m="1" x="999"/>
        <item x="491"/>
        <item m="1" x="905"/>
        <item m="1" x="800"/>
        <item m="1" x="1268"/>
        <item m="1" x="586"/>
        <item x="189"/>
        <item m="1" x="1102"/>
        <item x="554"/>
        <item x="396"/>
        <item m="1" x="1193"/>
        <item x="190"/>
        <item x="530"/>
        <item m="1" x="769"/>
        <item x="379"/>
        <item m="1" x="1036"/>
        <item x="304"/>
        <item x="271"/>
        <item x="397"/>
        <item m="1" x="735"/>
        <item x="555"/>
        <item m="1" x="931"/>
        <item m="1" x="794"/>
        <item m="1" x="1196"/>
        <item m="1" x="964"/>
        <item m="1" x="1114"/>
        <item x="2"/>
        <item x="77"/>
        <item m="1" x="1261"/>
        <item m="1" x="801"/>
        <item x="398"/>
        <item m="1" x="967"/>
        <item m="1" x="752"/>
        <item x="115"/>
        <item m="1" x="812"/>
        <item m="1" x="956"/>
        <item x="191"/>
        <item m="1" x="747"/>
        <item m="1" x="652"/>
        <item x="399"/>
        <item m="1" x="969"/>
        <item m="1" x="831"/>
        <item m="1" x="874"/>
        <item x="192"/>
        <item x="138"/>
        <item m="1" x="1221"/>
        <item m="1" x="1073"/>
        <item m="1" x="1167"/>
        <item x="400"/>
        <item x="531"/>
        <item m="1" x="1147"/>
        <item x="532"/>
        <item m="1" x="1272"/>
        <item m="1" x="1143"/>
        <item x="401"/>
        <item m="1" x="1240"/>
        <item x="50"/>
        <item x="556"/>
        <item x="193"/>
        <item x="139"/>
        <item x="140"/>
        <item x="333"/>
        <item m="1" x="1238"/>
        <item m="1" x="910"/>
        <item x="380"/>
        <item m="1" x="979"/>
        <item x="402"/>
        <item m="1" x="1010"/>
        <item x="33"/>
        <item x="194"/>
        <item m="1" x="893"/>
        <item m="1" x="818"/>
        <item x="141"/>
        <item m="1" x="1224"/>
        <item m="1" x="643"/>
        <item x="79"/>
        <item x="116"/>
        <item m="1" x="833"/>
        <item m="1" x="725"/>
        <item m="1" x="1013"/>
        <item x="195"/>
        <item x="78"/>
        <item x="334"/>
        <item m="1" x="856"/>
        <item x="80"/>
        <item m="1" x="1177"/>
        <item x="492"/>
        <item m="1" x="774"/>
        <item m="1" x="1045"/>
        <item m="1" x="748"/>
        <item x="142"/>
        <item m="1" x="613"/>
        <item m="1" x="736"/>
        <item x="493"/>
        <item m="1" x="694"/>
        <item x="403"/>
        <item m="1" x="1087"/>
        <item m="1" x="1058"/>
        <item x="335"/>
        <item x="557"/>
        <item m="1" x="1118"/>
        <item x="81"/>
        <item m="1" x="1074"/>
        <item x="494"/>
        <item m="1" x="599"/>
        <item m="1" x="782"/>
        <item x="495"/>
        <item x="3"/>
        <item m="1" x="1235"/>
        <item x="196"/>
        <item x="404"/>
        <item m="1" x="604"/>
        <item x="197"/>
        <item m="1" x="1117"/>
        <item m="1" x="1207"/>
        <item x="198"/>
        <item x="405"/>
        <item m="1" x="896"/>
        <item m="1" x="1138"/>
        <item x="4"/>
        <item x="496"/>
        <item x="406"/>
        <item m="1" x="1239"/>
        <item m="1" x="926"/>
        <item m="1" x="1245"/>
        <item m="1" x="734"/>
        <item x="336"/>
        <item m="1" x="777"/>
        <item x="82"/>
        <item x="272"/>
        <item x="407"/>
        <item x="337"/>
        <item x="408"/>
        <item m="1" x="1182"/>
        <item m="1" x="1267"/>
        <item m="1" x="803"/>
        <item x="409"/>
        <item m="1" x="651"/>
        <item m="1" x="1078"/>
        <item m="1" x="745"/>
        <item m="1" x="988"/>
        <item x="558"/>
        <item x="559"/>
        <item x="199"/>
        <item m="1" x="1243"/>
        <item x="533"/>
        <item x="273"/>
        <item x="305"/>
        <item x="338"/>
        <item m="1" x="809"/>
        <item m="1" x="852"/>
        <item x="200"/>
        <item m="1" x="894"/>
        <item x="410"/>
        <item x="497"/>
        <item m="1" x="670"/>
        <item m="1" x="850"/>
        <item x="339"/>
        <item m="1" x="1002"/>
        <item x="83"/>
        <item m="1" x="995"/>
        <item x="84"/>
        <item m="1" x="572"/>
        <item x="411"/>
        <item m="1" x="1091"/>
        <item m="1" x="878"/>
        <item m="1" x="573"/>
        <item m="1" x="862"/>
        <item x="201"/>
        <item x="498"/>
        <item x="499"/>
        <item m="1" x="663"/>
        <item m="1" x="772"/>
        <item x="117"/>
        <item x="85"/>
        <item x="143"/>
        <item x="412"/>
        <item m="1" x="702"/>
        <item m="1" x="622"/>
        <item x="534"/>
        <item m="1" x="704"/>
        <item x="202"/>
        <item x="51"/>
        <item x="203"/>
        <item m="1" x="843"/>
        <item m="1" x="684"/>
        <item x="118"/>
        <item m="1" x="879"/>
        <item m="1" x="863"/>
        <item x="413"/>
        <item x="414"/>
        <item x="204"/>
        <item x="306"/>
        <item x="205"/>
        <item x="415"/>
        <item m="1" x="817"/>
        <item m="1" x="1273"/>
        <item m="1" x="1260"/>
        <item x="34"/>
        <item m="1" x="1033"/>
        <item m="1" x="1131"/>
        <item x="340"/>
        <item x="560"/>
        <item m="1" x="827"/>
        <item m="1" x="1029"/>
        <item m="1" x="798"/>
        <item m="1" x="1166"/>
        <item x="144"/>
        <item x="307"/>
        <item x="86"/>
        <item x="5"/>
        <item m="1" x="1216"/>
        <item m="1" x="1000"/>
        <item x="145"/>
        <item m="1" x="787"/>
        <item x="308"/>
        <item x="535"/>
        <item m="1" x="1059"/>
        <item x="341"/>
        <item m="1" x="965"/>
        <item x="146"/>
        <item m="1" x="632"/>
        <item x="206"/>
        <item m="1" x="783"/>
        <item m="1" x="1142"/>
        <item m="1" x="1038"/>
        <item x="500"/>
        <item x="416"/>
        <item x="147"/>
        <item m="1" x="1146"/>
        <item m="1" x="1128"/>
        <item x="501"/>
        <item x="148"/>
        <item m="1" x="848"/>
        <item m="1" x="701"/>
        <item m="1" x="784"/>
        <item x="342"/>
        <item x="309"/>
        <item m="1" x="814"/>
        <item x="87"/>
        <item m="1" x="619"/>
        <item m="1" x="1202"/>
        <item x="310"/>
        <item m="1" x="709"/>
        <item x="207"/>
        <item m="1" x="826"/>
        <item x="149"/>
        <item x="62"/>
        <item m="1" x="1269"/>
        <item m="1" x="1153"/>
        <item m="1" x="640"/>
        <item x="417"/>
        <item m="1" x="1229"/>
        <item m="1" x="829"/>
        <item m="1" x="683"/>
        <item m="1" x="696"/>
        <item m="1" x="936"/>
        <item x="6"/>
        <item m="1" x="710"/>
        <item x="418"/>
        <item m="1" x="900"/>
        <item x="291"/>
        <item x="419"/>
        <item m="1" x="1194"/>
        <item m="1" x="1180"/>
        <item m="1" x="779"/>
        <item m="1" x="853"/>
        <item m="1" x="920"/>
        <item x="311"/>
        <item m="1" x="1082"/>
        <item m="1" x="1168"/>
        <item m="1" x="820"/>
        <item x="274"/>
        <item x="63"/>
        <item x="208"/>
        <item m="1" x="1236"/>
        <item m="1" x="1003"/>
        <item x="343"/>
        <item m="1" x="739"/>
        <item m="1" x="1226"/>
        <item m="1" x="1174"/>
        <item x="119"/>
        <item m="1" x="579"/>
        <item m="1" x="1046"/>
        <item m="1" x="780"/>
        <item x="275"/>
        <item m="1" x="625"/>
        <item m="1" x="708"/>
        <item m="1" x="768"/>
        <item m="1" x="1060"/>
        <item x="420"/>
        <item m="1" x="742"/>
        <item m="1" x="1043"/>
        <item x="209"/>
        <item x="383"/>
        <item x="35"/>
        <item x="276"/>
        <item m="1" x="1088"/>
        <item m="1" x="1136"/>
        <item x="52"/>
        <item m="1" x="854"/>
        <item x="536"/>
        <item x="88"/>
        <item x="421"/>
        <item m="1" x="759"/>
        <item x="64"/>
        <item x="150"/>
        <item m="1" x="903"/>
        <item x="344"/>
        <item x="210"/>
        <item m="1" x="687"/>
        <item m="1" x="1241"/>
        <item x="502"/>
        <item x="422"/>
        <item m="1" x="589"/>
        <item m="1" x="1005"/>
        <item m="1" x="677"/>
        <item x="312"/>
        <item x="89"/>
        <item x="151"/>
        <item x="7"/>
        <item x="503"/>
        <item x="211"/>
        <item m="1" x="718"/>
        <item x="53"/>
        <item x="504"/>
        <item x="313"/>
        <item x="345"/>
        <item x="537"/>
        <item m="1" x="626"/>
        <item x="295"/>
        <item m="1" x="1040"/>
        <item x="212"/>
        <item m="1" x="1176"/>
        <item m="1" x="664"/>
        <item m="1" x="1037"/>
        <item m="1" x="966"/>
        <item m="1" x="593"/>
        <item m="1" x="707"/>
        <item x="120"/>
        <item m="1" x="858"/>
        <item m="1" x="976"/>
        <item m="1" x="984"/>
        <item m="1" x="717"/>
        <item x="36"/>
        <item m="1" x="1099"/>
        <item m="1" x="635"/>
        <item x="152"/>
        <item m="1" x="618"/>
        <item m="1" x="1018"/>
        <item x="538"/>
        <item x="346"/>
        <item m="1" x="741"/>
        <item m="1" x="1135"/>
        <item x="8"/>
        <item m="1" x="799"/>
        <item x="423"/>
        <item m="1" x="928"/>
        <item x="347"/>
        <item m="1" x="1081"/>
        <item m="1" x="888"/>
        <item x="153"/>
        <item x="561"/>
        <item x="65"/>
        <item x="213"/>
        <item m="1" x="1092"/>
        <item m="1" x="1215"/>
        <item x="9"/>
        <item m="1" x="729"/>
        <item x="539"/>
        <item m="1" x="1106"/>
        <item m="1" x="1071"/>
        <item m="1" x="598"/>
        <item x="562"/>
        <item m="1" x="1231"/>
        <item x="296"/>
        <item x="214"/>
        <item x="424"/>
        <item x="154"/>
        <item x="104"/>
        <item x="297"/>
        <item x="37"/>
        <item x="540"/>
        <item m="1" x="790"/>
        <item x="541"/>
        <item m="1" x="1129"/>
        <item m="1" x="682"/>
        <item m="1" x="657"/>
        <item x="425"/>
        <item x="348"/>
        <item m="1" x="1079"/>
        <item x="349"/>
        <item x="426"/>
        <item m="1" x="882"/>
        <item m="1" x="990"/>
        <item x="10"/>
        <item m="1" x="892"/>
        <item x="215"/>
        <item m="1" x="1218"/>
        <item m="1" x="1067"/>
        <item m="1" x="660"/>
        <item m="1" x="1266"/>
        <item m="1" x="1024"/>
        <item x="90"/>
        <item m="1" x="1009"/>
        <item x="216"/>
        <item x="427"/>
        <item m="1" x="608"/>
        <item x="298"/>
        <item m="1" x="937"/>
        <item m="1" x="1233"/>
        <item m="1" x="996"/>
        <item m="1" x="620"/>
        <item x="155"/>
        <item x="156"/>
        <item m="1" x="1006"/>
        <item m="1" x="642"/>
        <item x="505"/>
        <item x="428"/>
        <item x="217"/>
        <item x="429"/>
        <item x="350"/>
        <item x="542"/>
        <item m="1" x="959"/>
        <item m="1" x="1165"/>
        <item m="1" x="1242"/>
        <item m="1" x="1205"/>
        <item x="506"/>
        <item m="1" x="1032"/>
        <item x="430"/>
        <item m="1" x="791"/>
        <item m="1" x="1203"/>
        <item m="1" x="912"/>
        <item m="1" x="904"/>
        <item m="1" x="584"/>
        <item x="431"/>
        <item m="1" x="1171"/>
        <item x="432"/>
        <item m="1" x="1075"/>
        <item m="1" x="1007"/>
        <item m="1" x="1069"/>
        <item m="1" x="1172"/>
        <item m="1" x="1126"/>
        <item m="1" x="1263"/>
        <item x="433"/>
        <item x="563"/>
        <item m="1" x="716"/>
        <item x="434"/>
        <item m="1" x="1048"/>
        <item x="218"/>
        <item x="435"/>
        <item m="1" x="1251"/>
        <item m="1" x="1107"/>
        <item x="38"/>
        <item x="351"/>
        <item x="507"/>
        <item x="436"/>
        <item m="1" x="1225"/>
        <item m="1" x="1016"/>
        <item m="1" x="602"/>
        <item m="1" x="1098"/>
        <item x="508"/>
        <item x="437"/>
        <item m="1" x="1076"/>
        <item x="219"/>
        <item x="438"/>
        <item x="91"/>
        <item m="1" x="713"/>
        <item m="1" x="581"/>
        <item m="1" x="592"/>
        <item m="1" x="1270"/>
        <item m="1" x="1274"/>
        <item m="1" x="607"/>
        <item m="1" x="595"/>
        <item m="1" x="986"/>
        <item x="220"/>
        <item m="1" x="1112"/>
        <item x="352"/>
        <item x="353"/>
        <item m="1" x="1152"/>
        <item m="1" x="837"/>
        <item x="157"/>
        <item m="1" x="1121"/>
        <item m="1" x="603"/>
        <item x="221"/>
        <item m="1" x="898"/>
        <item m="1" x="755"/>
        <item x="384"/>
        <item x="66"/>
        <item x="121"/>
        <item x="158"/>
        <item x="564"/>
        <item m="1" x="846"/>
        <item m="1" x="808"/>
        <item x="565"/>
        <item x="439"/>
        <item m="1" x="1230"/>
        <item x="222"/>
        <item m="1" x="1259"/>
        <item x="314"/>
        <item m="1" x="730"/>
        <item m="1" x="981"/>
        <item m="1" x="938"/>
        <item x="440"/>
        <item m="1" x="781"/>
        <item x="441"/>
        <item x="39"/>
        <item x="122"/>
        <item m="1" x="861"/>
        <item m="1" x="698"/>
        <item x="123"/>
        <item m="1" x="1169"/>
        <item x="223"/>
        <item m="1" x="1085"/>
        <item m="1" x="1162"/>
        <item m="1" x="655"/>
        <item x="442"/>
        <item m="1" x="749"/>
        <item m="1" x="633"/>
        <item x="105"/>
        <item x="543"/>
        <item m="1" x="1170"/>
        <item m="1" x="875"/>
        <item x="159"/>
        <item x="160"/>
        <item m="1" x="1023"/>
        <item x="124"/>
        <item x="444"/>
        <item x="443"/>
        <item m="1" x="1264"/>
        <item m="1" x="1204"/>
        <item m="1" x="727"/>
        <item m="1" x="764"/>
        <item x="445"/>
        <item m="1" x="667"/>
        <item m="1" x="941"/>
        <item m="1" x="871"/>
        <item x="224"/>
        <item m="1" x="917"/>
        <item m="1" x="1141"/>
        <item m="1" x="750"/>
        <item m="1" x="1111"/>
        <item m="1" x="1163"/>
        <item x="509"/>
        <item m="1" x="1012"/>
        <item x="225"/>
        <item m="1" x="810"/>
        <item m="1" x="949"/>
        <item m="1" x="958"/>
        <item x="299"/>
        <item x="226"/>
        <item x="227"/>
        <item m="1" x="1026"/>
        <item m="1" x="1070"/>
        <item m="1" x="786"/>
        <item x="277"/>
        <item m="1" x="1145"/>
        <item m="1" x="1124"/>
        <item m="1" x="623"/>
        <item m="1" x="962"/>
        <item m="1" x="594"/>
        <item m="1" x="913"/>
        <item x="510"/>
        <item m="1" x="1192"/>
        <item x="446"/>
        <item m="1" x="1093"/>
        <item m="1" x="673"/>
        <item x="228"/>
        <item x="11"/>
        <item m="1" x="968"/>
        <item x="354"/>
        <item m="1" x="1181"/>
        <item x="40"/>
        <item m="1" x="1186"/>
        <item x="447"/>
        <item m="1" x="575"/>
        <item x="125"/>
        <item x="67"/>
        <item m="1" x="761"/>
        <item x="544"/>
        <item m="1" x="1077"/>
        <item m="1" x="907"/>
        <item x="161"/>
        <item x="315"/>
        <item m="1" x="877"/>
        <item x="316"/>
        <item m="1" x="1157"/>
        <item x="92"/>
        <item m="1" x="895"/>
        <item m="1" x="802"/>
        <item x="355"/>
        <item m="1" x="1042"/>
        <item m="1" x="946"/>
        <item m="1" x="1080"/>
        <item x="448"/>
        <item m="1" x="672"/>
        <item m="1" x="574"/>
        <item m="1" x="1132"/>
        <item m="1" x="839"/>
        <item m="1" x="1052"/>
        <item x="385"/>
        <item x="68"/>
        <item m="1" x="1125"/>
        <item m="1" x="648"/>
        <item x="162"/>
        <item m="1" x="1211"/>
        <item m="1" x="703"/>
        <item m="1" x="838"/>
        <item m="1" x="778"/>
        <item m="1" x="970"/>
        <item m="1" x="884"/>
        <item m="1" x="785"/>
        <item m="1" x="578"/>
        <item m="1" x="796"/>
        <item x="356"/>
        <item m="1" x="1228"/>
        <item x="69"/>
        <item m="1" x="691"/>
        <item m="1" x="1090"/>
        <item x="449"/>
        <item x="357"/>
        <item m="1" x="792"/>
        <item x="511"/>
        <item m="1" x="686"/>
        <item x="300"/>
        <item x="450"/>
        <item x="566"/>
        <item x="358"/>
        <item x="70"/>
        <item m="1" x="1001"/>
        <item x="451"/>
        <item m="1" x="1115"/>
        <item m="1" x="723"/>
        <item x="41"/>
        <item x="93"/>
        <item m="1" x="789"/>
        <item m="1" x="614"/>
        <item x="163"/>
        <item x="359"/>
        <item m="1" x="997"/>
        <item x="452"/>
        <item x="126"/>
        <item m="1" x="866"/>
        <item x="229"/>
        <item m="1" x="1195"/>
        <item m="1" x="743"/>
        <item m="1" x="766"/>
        <item x="230"/>
        <item x="292"/>
        <item m="1" x="860"/>
        <item m="1" x="678"/>
        <item x="360"/>
        <item m="1" x="1030"/>
        <item x="278"/>
        <item m="1" x="973"/>
        <item m="1" x="1083"/>
        <item m="1" x="897"/>
        <item m="1" x="1178"/>
        <item x="42"/>
        <item m="1" x="610"/>
        <item m="1" x="955"/>
        <item m="1" x="1086"/>
        <item m="1" x="925"/>
        <item x="545"/>
        <item x="453"/>
        <item x="454"/>
        <item x="455"/>
        <item m="1" x="1144"/>
        <item m="1" x="628"/>
        <item m="1" x="671"/>
        <item x="94"/>
        <item m="1" x="1051"/>
        <item m="1" x="1237"/>
        <item x="12"/>
        <item x="546"/>
        <item m="1" x="775"/>
        <item x="456"/>
        <item m="1" x="1148"/>
        <item x="106"/>
        <item m="1" x="758"/>
        <item x="279"/>
        <item x="301"/>
        <item x="361"/>
        <item m="1" x="714"/>
        <item m="1" x="1101"/>
        <item m="1" x="974"/>
        <item x="457"/>
        <item m="1" x="627"/>
        <item x="164"/>
        <item m="1" x="629"/>
        <item x="458"/>
        <item x="231"/>
        <item x="232"/>
        <item x="13"/>
        <item m="1" x="1011"/>
        <item x="459"/>
        <item m="1" x="821"/>
        <item m="1" x="1123"/>
        <item x="280"/>
        <item m="1" x="908"/>
        <item m="1" x="1113"/>
        <item x="233"/>
        <item m="1" x="985"/>
        <item x="165"/>
        <item x="95"/>
        <item x="166"/>
        <item m="1" x="1199"/>
        <item m="1" x="1232"/>
        <item m="1" x="661"/>
        <item x="362"/>
        <item x="14"/>
        <item m="1" x="762"/>
        <item m="1" x="637"/>
        <item m="1" x="1275"/>
        <item x="460"/>
        <item m="1" x="806"/>
        <item x="512"/>
        <item x="386"/>
        <item m="1" x="921"/>
        <item x="107"/>
        <item x="234"/>
        <item m="1" x="711"/>
        <item m="1" x="1050"/>
        <item m="1" x="1095"/>
        <item m="1" x="816"/>
        <item x="363"/>
        <item x="235"/>
        <item m="1" x="638"/>
        <item x="387"/>
        <item m="1" x="1054"/>
        <item m="1" x="1014"/>
        <item m="1" x="1096"/>
        <item m="1" x="617"/>
        <item x="364"/>
        <item x="43"/>
        <item x="461"/>
        <item x="236"/>
        <item x="293"/>
        <item x="15"/>
        <item m="1" x="909"/>
        <item x="237"/>
        <item x="513"/>
        <item m="1" x="765"/>
        <item m="1" x="771"/>
        <item x="388"/>
        <item m="1" x="639"/>
        <item x="365"/>
        <item m="1" x="1209"/>
        <item x="462"/>
        <item m="1" x="577"/>
        <item x="54"/>
        <item x="55"/>
        <item x="317"/>
        <item x="463"/>
        <item m="1" x="630"/>
        <item m="1" x="844"/>
        <item x="167"/>
        <item m="1" x="693"/>
        <item m="1" x="654"/>
        <item m="1" x="922"/>
        <item x="238"/>
        <item m="1" x="1022"/>
        <item m="1" x="692"/>
        <item x="514"/>
        <item m="1" x="1256"/>
        <item x="515"/>
        <item x="127"/>
        <item m="1" x="1156"/>
        <item m="1" x="1262"/>
        <item m="1" x="740"/>
        <item m="1" x="733"/>
        <item m="1" x="841"/>
        <item x="96"/>
        <item m="1" x="1103"/>
        <item x="168"/>
        <item x="169"/>
        <item m="1" x="1061"/>
        <item x="71"/>
        <item x="108"/>
        <item x="281"/>
        <item m="1" x="1189"/>
        <item m="1" x="1183"/>
        <item x="239"/>
        <item x="240"/>
        <item m="1" x="822"/>
        <item x="241"/>
        <item m="1" x="605"/>
        <item x="318"/>
        <item m="1" x="1062"/>
        <item m="1" x="724"/>
        <item x="16"/>
        <item x="319"/>
        <item m="1" x="834"/>
        <item m="1" x="1031"/>
        <item m="1" x="1004"/>
        <item m="1" x="916"/>
        <item m="1" x="621"/>
        <item x="464"/>
        <item m="1" x="649"/>
        <item x="282"/>
        <item m="1" x="924"/>
        <item m="1" x="868"/>
        <item m="1" x="656"/>
        <item m="1" x="804"/>
        <item x="242"/>
        <item m="1" x="1008"/>
        <item x="56"/>
        <item x="465"/>
        <item x="466"/>
        <item m="1" x="1159"/>
        <item m="1" x="1185"/>
        <item m="1" x="1253"/>
        <item m="1" x="720"/>
        <item m="1" x="1140"/>
        <item x="243"/>
        <item m="1" x="767"/>
        <item m="1" x="689"/>
        <item m="1" x="751"/>
        <item x="467"/>
        <item m="1" x="1210"/>
        <item x="244"/>
        <item m="1" x="1019"/>
        <item m="1" x="873"/>
        <item x="17"/>
        <item x="567"/>
        <item m="1" x="1137"/>
        <item m="1" x="697"/>
        <item x="516"/>
        <item x="97"/>
        <item m="1" x="1097"/>
        <item x="547"/>
        <item m="1" x="993"/>
        <item m="1" x="600"/>
        <item x="302"/>
        <item x="517"/>
        <item m="1" x="738"/>
        <item x="468"/>
        <item m="1" x="675"/>
        <item x="44"/>
        <item x="469"/>
        <item m="1" x="1255"/>
        <item m="1" x="819"/>
        <item m="1" x="1161"/>
        <item m="1" x="872"/>
        <item m="1" x="1244"/>
        <item m="1" x="944"/>
        <item m="1" x="601"/>
        <item x="470"/>
        <item x="245"/>
        <item x="98"/>
        <item m="1" x="891"/>
        <item x="170"/>
        <item m="1" x="1034"/>
        <item m="1" x="1056"/>
        <item m="1" x="756"/>
        <item x="246"/>
        <item x="171"/>
        <item m="1" x="935"/>
        <item m="1" x="1044"/>
        <item x="548"/>
        <item m="1" x="615"/>
        <item m="1" x="1190"/>
        <item m="1" x="616"/>
        <item x="72"/>
        <item m="1" x="1055"/>
        <item m="1" x="870"/>
        <item m="1" x="932"/>
        <item x="109"/>
        <item m="1" x="1208"/>
        <item m="1" x="927"/>
        <item x="99"/>
        <item m="1" x="883"/>
        <item x="471"/>
        <item x="549"/>
        <item m="1" x="957"/>
        <item m="1" x="994"/>
        <item m="1" x="1127"/>
        <item m="1" x="700"/>
        <item m="1" x="1100"/>
        <item m="1" x="590"/>
        <item m="1" x="1164"/>
        <item m="1" x="943"/>
        <item m="1" x="980"/>
        <item x="366"/>
        <item m="1" x="849"/>
        <item m="1" x="971"/>
        <item x="100"/>
        <item m="1" x="1133"/>
        <item m="1" x="645"/>
        <item m="1" x="1179"/>
        <item m="1" x="1094"/>
        <item x="128"/>
        <item m="1" x="773"/>
        <item x="367"/>
        <item m="1" x="876"/>
        <item m="1" x="881"/>
        <item x="101"/>
        <item m="1" x="942"/>
        <item m="1" x="952"/>
        <item x="247"/>
        <item m="1" x="899"/>
        <item m="1" x="1198"/>
        <item m="1" x="760"/>
        <item m="1" x="953"/>
        <item x="389"/>
        <item x="248"/>
        <item m="1" x="1139"/>
        <item x="390"/>
        <item m="1" x="989"/>
        <item m="1" x="865"/>
        <item m="1" x="1084"/>
        <item m="1" x="836"/>
        <item x="172"/>
        <item m="1" x="919"/>
        <item x="283"/>
        <item x="45"/>
        <item x="173"/>
        <item x="518"/>
        <item x="18"/>
        <item m="1" x="732"/>
        <item x="294"/>
        <item m="1" x="1213"/>
        <item m="1" x="1175"/>
        <item m="1" x="1116"/>
        <item x="102"/>
        <item x="550"/>
        <item m="1" x="612"/>
        <item x="568"/>
        <item x="249"/>
        <item x="174"/>
        <item x="250"/>
        <item m="1" x="788"/>
        <item x="251"/>
        <item x="472"/>
        <item m="1" x="977"/>
        <item x="252"/>
        <item m="1" x="793"/>
        <item x="391"/>
        <item m="1" x="757"/>
        <item m="1" x="813"/>
        <item x="129"/>
        <item m="1" x="1021"/>
        <item m="1" x="583"/>
        <item x="253"/>
        <item m="1" x="1254"/>
        <item m="1" x="1149"/>
        <item x="254"/>
        <item x="303"/>
        <item x="368"/>
        <item m="1" x="911"/>
        <item m="1" x="1108"/>
        <item x="551"/>
        <item m="1" x="1187"/>
        <item m="1" x="998"/>
        <item m="1" x="1201"/>
        <item m="1" x="669"/>
        <item x="46"/>
        <item x="519"/>
        <item m="1" x="823"/>
        <item x="369"/>
        <item m="1" x="930"/>
        <item m="1" x="1150"/>
        <item x="552"/>
        <item x="370"/>
        <item m="1" x="923"/>
        <item x="255"/>
        <item m="1" x="1223"/>
        <item m="1" x="887"/>
        <item m="1" x="631"/>
        <item m="1" x="653"/>
        <item m="1" x="1206"/>
        <item x="381"/>
        <item m="1" x="1197"/>
        <item m="1" x="859"/>
        <item x="473"/>
        <item m="1" x="699"/>
        <item m="1" x="947"/>
        <item x="284"/>
        <item x="520"/>
        <item x="521"/>
        <item x="474"/>
        <item m="1" x="992"/>
        <item x="285"/>
        <item m="1" x="1154"/>
        <item m="1" x="929"/>
        <item m="1" x="1188"/>
        <item m="1" x="705"/>
        <item x="175"/>
        <item m="1" x="665"/>
        <item x="320"/>
        <item m="1" x="679"/>
        <item x="321"/>
        <item m="1" x="668"/>
        <item m="1" x="650"/>
        <item x="475"/>
        <item x="476"/>
        <item x="477"/>
        <item x="57"/>
        <item x="19"/>
        <item m="1" x="825"/>
        <item m="1" x="1249"/>
        <item m="1" x="880"/>
        <item m="1" x="1027"/>
        <item m="1" x="719"/>
        <item m="1" x="588"/>
        <item m="1" x="1130"/>
        <item m="1" x="1212"/>
        <item m="1" x="634"/>
        <item m="1" x="842"/>
        <item m="1" x="1214"/>
        <item m="1" x="1219"/>
        <item x="322"/>
        <item m="1" x="763"/>
        <item m="1" x="889"/>
        <item x="176"/>
        <item x="47"/>
        <item x="256"/>
        <item m="1" x="1248"/>
        <item x="522"/>
        <item x="478"/>
        <item x="371"/>
        <item x="569"/>
        <item x="178"/>
        <item x="179"/>
        <item m="1" x="722"/>
        <item x="323"/>
        <item x="180"/>
        <item x="110"/>
        <item m="1" x="840"/>
        <item x="479"/>
        <item m="1" x="1158"/>
        <item x="177"/>
        <item m="1" x="972"/>
        <item x="20"/>
        <item x="286"/>
        <item m="1" x="680"/>
        <item x="21"/>
        <item x="480"/>
        <item m="1" x="982"/>
        <item m="1" x="647"/>
        <item m="1" x="963"/>
        <item m="1" x="576"/>
        <item m="1" x="1246"/>
        <item x="481"/>
        <item x="372"/>
        <item x="257"/>
        <item x="103"/>
        <item x="570"/>
        <item x="373"/>
        <item x="258"/>
        <item m="1" x="685"/>
        <item m="1" x="914"/>
        <item m="1" x="674"/>
        <item x="22"/>
        <item m="1" x="1041"/>
        <item m="1" x="754"/>
        <item x="482"/>
        <item m="1" x="830"/>
        <item x="111"/>
        <item x="23"/>
        <item m="1" x="835"/>
        <item m="1" x="646"/>
        <item m="1" x="666"/>
        <item x="130"/>
        <item m="1" x="1047"/>
        <item m="1" x="706"/>
        <item m="1" x="934"/>
        <item m="1" x="695"/>
        <item x="259"/>
        <item m="1" x="1065"/>
        <item x="73"/>
        <item m="1" x="890"/>
        <item x="523"/>
        <item m="1" x="1063"/>
        <item m="1" x="1155"/>
        <item m="1" x="1119"/>
        <item x="374"/>
        <item x="260"/>
        <item x="131"/>
        <item x="483"/>
        <item m="1" x="805"/>
        <item m="1" x="811"/>
        <item m="1" x="1234"/>
        <item x="524"/>
        <item m="1" x="857"/>
        <item x="324"/>
        <item m="1" x="1134"/>
        <item x="325"/>
        <item m="1" x="1053"/>
        <item x="571"/>
        <item m="1" x="1105"/>
        <item x="261"/>
        <item m="1" x="753"/>
        <item x="553"/>
        <item x="24"/>
        <item m="1" x="1151"/>
        <item x="262"/>
        <item x="25"/>
        <item m="1" x="847"/>
        <item m="1" x="795"/>
        <item m="1" x="824"/>
        <item m="1" x="960"/>
        <item x="112"/>
        <item m="1" x="609"/>
        <item x="525"/>
        <item m="1" x="851"/>
        <item m="1" x="1160"/>
        <item x="263"/>
        <item x="326"/>
        <item x="48"/>
        <item m="1" x="951"/>
        <item m="1" x="1020"/>
        <item x="26"/>
        <item x="375"/>
        <item x="49"/>
        <item m="1" x="815"/>
        <item m="1" x="948"/>
        <item x="27"/>
        <item m="1" x="983"/>
        <item m="1" x="580"/>
        <item x="287"/>
        <item x="382"/>
        <item m="1" x="1110"/>
        <item m="1" x="885"/>
        <item m="1" x="636"/>
        <item m="1" x="1104"/>
        <item x="288"/>
        <item m="1" x="662"/>
        <item m="1" x="659"/>
        <item m="1" x="585"/>
        <item m="1" x="1122"/>
        <item m="1" x="950"/>
        <item x="526"/>
        <item x="484"/>
        <item m="1" x="770"/>
        <item x="264"/>
        <item m="1" x="845"/>
        <item x="58"/>
        <item x="485"/>
        <item m="1" x="1028"/>
        <item x="376"/>
        <item m="1" x="901"/>
        <item x="377"/>
        <item m="1" x="715"/>
        <item m="1" x="954"/>
        <item m="1" x="1252"/>
        <item m="1" x="1173"/>
        <item x="113"/>
        <item m="1" x="1068"/>
        <item m="1" x="797"/>
        <item m="1" x="886"/>
        <item x="378"/>
        <item m="1" x="939"/>
        <item m="1" x="987"/>
        <item m="1" x="1057"/>
        <item m="1" x="855"/>
        <item m="1" x="961"/>
        <item m="1" x="978"/>
        <item m="1" x="1120"/>
        <item m="1" x="681"/>
        <item x="486"/>
        <item m="1" x="1072"/>
        <item x="487"/>
        <item x="59"/>
        <item x="265"/>
        <item m="1" x="1227"/>
        <item x="488"/>
        <item x="266"/>
        <item x="527"/>
        <item x="267"/>
        <item m="1" x="644"/>
        <item x="268"/>
        <item x="28"/>
        <item x="181"/>
        <item x="489"/>
        <item m="1" x="869"/>
      </items>
    </pivotField>
    <pivotField axis="axisRow" compact="0" outline="0" showAll="0" defaultSubtotal="0">
      <items count="694">
        <item m="1" x="609"/>
        <item x="348"/>
        <item m="1" x="551"/>
        <item x="78"/>
        <item x="73"/>
        <item x="48"/>
        <item x="79"/>
        <item x="55"/>
        <item m="1" x="555"/>
        <item x="158"/>
        <item x="38"/>
        <item m="1" x="486"/>
        <item m="1" x="493"/>
        <item m="1" x="663"/>
        <item x="343"/>
        <item x="298"/>
        <item x="177"/>
        <item x="85"/>
        <item x="76"/>
        <item m="1" x="422"/>
        <item x="58"/>
        <item m="1" x="432"/>
        <item x="130"/>
        <item m="1" x="527"/>
        <item m="1" x="503"/>
        <item x="28"/>
        <item x="29"/>
        <item m="1" x="652"/>
        <item m="1" x="487"/>
        <item x="26"/>
        <item x="207"/>
        <item m="1" x="668"/>
        <item m="1" x="550"/>
        <item m="1" x="421"/>
        <item m="1" x="670"/>
        <item x="81"/>
        <item x="30"/>
        <item m="1" x="420"/>
        <item x="50"/>
        <item x="367"/>
        <item x="3"/>
        <item x="250"/>
        <item m="1" x="608"/>
        <item m="1" x="660"/>
        <item x="53"/>
        <item m="1" x="498"/>
        <item x="110"/>
        <item m="1" x="458"/>
        <item x="44"/>
        <item x="234"/>
        <item x="2"/>
        <item x="146"/>
        <item x="311"/>
        <item m="1" x="576"/>
        <item x="175"/>
        <item m="1" x="641"/>
        <item x="249"/>
        <item x="32"/>
        <item x="70"/>
        <item m="1" x="621"/>
        <item x="21"/>
        <item m="1" x="571"/>
        <item x="223"/>
        <item m="1" x="639"/>
        <item x="365"/>
        <item m="1" x="528"/>
        <item x="59"/>
        <item m="1" x="474"/>
        <item x="57"/>
        <item m="1" x="638"/>
        <item x="9"/>
        <item x="402"/>
        <item x="7"/>
        <item x="344"/>
        <item x="40"/>
        <item x="60"/>
        <item m="1" x="481"/>
        <item m="1" x="657"/>
        <item x="247"/>
        <item m="1" x="512"/>
        <item m="1" x="476"/>
        <item x="39"/>
        <item x="115"/>
        <item m="1" x="614"/>
        <item m="1" x="456"/>
        <item x="322"/>
        <item x="196"/>
        <item x="145"/>
        <item x="217"/>
        <item x="283"/>
        <item m="1" x="587"/>
        <item x="101"/>
        <item x="136"/>
        <item m="1" x="507"/>
        <item x="6"/>
        <item x="41"/>
        <item m="1" x="629"/>
        <item x="91"/>
        <item m="1" x="659"/>
        <item m="1" x="654"/>
        <item x="64"/>
        <item m="1" x="547"/>
        <item x="19"/>
        <item x="170"/>
        <item x="318"/>
        <item m="1" x="423"/>
        <item x="273"/>
        <item x="113"/>
        <item x="213"/>
        <item x="111"/>
        <item x="184"/>
        <item x="82"/>
        <item x="52"/>
        <item x="139"/>
        <item m="1" x="414"/>
        <item x="8"/>
        <item x="214"/>
        <item x="119"/>
        <item x="243"/>
        <item x="279"/>
        <item x="264"/>
        <item x="263"/>
        <item x="149"/>
        <item x="173"/>
        <item m="1" x="463"/>
        <item x="281"/>
        <item m="1" x="643"/>
        <item x="51"/>
        <item x="56"/>
        <item m="1" x="615"/>
        <item x="291"/>
        <item m="1" x="506"/>
        <item x="338"/>
        <item x="152"/>
        <item x="68"/>
        <item x="342"/>
        <item x="151"/>
        <item x="203"/>
        <item x="262"/>
        <item x="116"/>
        <item m="1" x="537"/>
        <item m="1" x="536"/>
        <item m="1" x="552"/>
        <item x="114"/>
        <item m="1" x="579"/>
        <item m="1" x="443"/>
        <item m="1" x="467"/>
        <item m="1" x="516"/>
        <item x="11"/>
        <item x="193"/>
        <item x="80"/>
        <item x="157"/>
        <item x="174"/>
        <item x="361"/>
        <item x="36"/>
        <item x="18"/>
        <item m="1" x="662"/>
        <item x="77"/>
        <item x="24"/>
        <item x="42"/>
        <item x="319"/>
        <item x="17"/>
        <item x="14"/>
        <item x="97"/>
        <item m="1" x="667"/>
        <item x="374"/>
        <item x="22"/>
        <item x="112"/>
        <item x="238"/>
        <item m="1" x="556"/>
        <item m="1" x="647"/>
        <item x="240"/>
        <item m="1" x="656"/>
        <item m="1" x="594"/>
        <item x="33"/>
        <item x="287"/>
        <item m="1" x="526"/>
        <item x="288"/>
        <item m="1" x="505"/>
        <item x="128"/>
        <item x="61"/>
        <item x="37"/>
        <item m="1" x="604"/>
        <item x="1"/>
        <item x="295"/>
        <item x="172"/>
        <item x="147"/>
        <item m="1" x="601"/>
        <item m="1" x="632"/>
        <item m="1" x="554"/>
        <item x="226"/>
        <item x="104"/>
        <item m="1" x="535"/>
        <item m="1" x="525"/>
        <item x="355"/>
        <item x="286"/>
        <item m="1" x="676"/>
        <item x="242"/>
        <item m="1" x="675"/>
        <item x="309"/>
        <item x="140"/>
        <item m="1" x="693"/>
        <item x="181"/>
        <item x="90"/>
        <item x="84"/>
        <item m="1" x="674"/>
        <item m="1" x="563"/>
        <item x="359"/>
        <item x="25"/>
        <item m="1" x="649"/>
        <item x="23"/>
        <item x="137"/>
        <item m="1" x="605"/>
        <item m="1" x="650"/>
        <item m="1" x="567"/>
        <item m="1" x="430"/>
        <item x="190"/>
        <item m="1" x="628"/>
        <item x="54"/>
        <item x="94"/>
        <item m="1" x="413"/>
        <item x="244"/>
        <item m="1" x="426"/>
        <item x="277"/>
        <item x="88"/>
        <item m="1" x="684"/>
        <item m="1" x="689"/>
        <item m="1" x="490"/>
        <item m="1" x="473"/>
        <item m="1" x="635"/>
        <item m="1" x="630"/>
        <item m="1" x="570"/>
        <item m="1" x="489"/>
        <item m="1" x="425"/>
        <item x="102"/>
        <item m="1" x="611"/>
        <item m="1" x="626"/>
        <item x="222"/>
        <item m="1" x="682"/>
        <item m="1" x="665"/>
        <item x="323"/>
        <item m="1" x="583"/>
        <item m="1" x="470"/>
        <item x="202"/>
        <item m="1" x="624"/>
        <item m="1" x="586"/>
        <item m="1" x="619"/>
        <item m="1" x="546"/>
        <item x="248"/>
        <item x="266"/>
        <item m="1" x="442"/>
        <item m="1" x="513"/>
        <item m="1" x="548"/>
        <item m="1" x="428"/>
        <item m="1" x="581"/>
        <item x="299"/>
        <item m="1" x="640"/>
        <item m="1" x="622"/>
        <item m="1" x="584"/>
        <item x="315"/>
        <item x="271"/>
        <item m="1" x="478"/>
        <item m="1" x="544"/>
        <item x="386"/>
        <item x="47"/>
        <item m="1" x="580"/>
        <item m="1" x="598"/>
        <item x="340"/>
        <item m="1" x="589"/>
        <item m="1" x="418"/>
        <item m="1" x="618"/>
        <item x="194"/>
        <item m="1" x="591"/>
        <item m="1" x="492"/>
        <item m="1" x="625"/>
        <item x="292"/>
        <item x="294"/>
        <item x="62"/>
        <item m="1" x="521"/>
        <item x="317"/>
        <item m="1" x="515"/>
        <item x="100"/>
        <item m="1" x="541"/>
        <item m="1" x="437"/>
        <item m="1" x="645"/>
        <item m="1" x="612"/>
        <item m="1" x="479"/>
        <item m="1" x="499"/>
        <item m="1" x="603"/>
        <item m="1" x="606"/>
        <item m="1" x="582"/>
        <item m="1" x="427"/>
        <item m="1" x="514"/>
        <item m="1" x="457"/>
        <item m="1" x="690"/>
        <item m="1" x="500"/>
        <item m="1" x="450"/>
        <item m="1" x="573"/>
        <item x="171"/>
        <item m="1" x="561"/>
        <item m="1" x="447"/>
        <item m="1" x="692"/>
        <item x="265"/>
        <item m="1" x="564"/>
        <item m="1" x="631"/>
        <item m="1" x="482"/>
        <item m="1" x="517"/>
        <item x="63"/>
        <item x="206"/>
        <item m="1" x="419"/>
        <item m="1" x="613"/>
        <item x="272"/>
        <item x="285"/>
        <item x="180"/>
        <item m="1" x="511"/>
        <item x="72"/>
        <item x="268"/>
        <item x="49"/>
        <item m="1" x="644"/>
        <item m="1" x="568"/>
        <item x="349"/>
        <item m="1" x="600"/>
        <item m="1" x="559"/>
        <item m="1" x="588"/>
        <item m="1" x="595"/>
        <item m="1" x="429"/>
        <item m="1" x="465"/>
        <item m="1" x="483"/>
        <item x="179"/>
        <item x="74"/>
        <item m="1" x="464"/>
        <item x="409"/>
        <item x="191"/>
        <item x="215"/>
        <item m="1" x="683"/>
        <item x="395"/>
        <item m="1" x="508"/>
        <item m="1" x="545"/>
        <item m="1" x="565"/>
        <item m="1" x="496"/>
        <item m="1" x="441"/>
        <item m="1" x="501"/>
        <item m="1" x="575"/>
        <item x="164"/>
        <item m="1" x="672"/>
        <item m="1" x="520"/>
        <item x="129"/>
        <item m="1" x="616"/>
        <item m="1" x="434"/>
        <item m="1" x="661"/>
        <item m="1" x="592"/>
        <item m="1" x="475"/>
        <item m="1" x="664"/>
        <item m="1" x="484"/>
        <item m="1" x="446"/>
        <item m="1" x="469"/>
        <item m="1" x="495"/>
        <item x="245"/>
        <item m="1" x="658"/>
        <item m="1" x="679"/>
        <item m="1" x="651"/>
        <item x="209"/>
        <item m="1" x="411"/>
        <item x="148"/>
        <item m="1" x="502"/>
        <item m="1" x="524"/>
        <item x="320"/>
        <item x="383"/>
        <item x="408"/>
        <item x="332"/>
        <item m="1" x="529"/>
        <item m="1" x="530"/>
        <item m="1" x="557"/>
        <item m="1" x="412"/>
        <item m="1" x="461"/>
        <item m="1" x="518"/>
        <item m="1" x="471"/>
        <item m="1" x="532"/>
        <item x="236"/>
        <item x="127"/>
        <item m="1" x="439"/>
        <item m="1" x="681"/>
        <item m="1" x="533"/>
        <item m="1" x="633"/>
        <item m="1" x="574"/>
        <item m="1" x="543"/>
        <item m="1" x="585"/>
        <item m="1" x="459"/>
        <item m="1" x="462"/>
        <item m="1" x="602"/>
        <item m="1" x="538"/>
        <item x="260"/>
        <item m="1" x="596"/>
        <item m="1" x="460"/>
        <item m="1" x="417"/>
        <item x="378"/>
        <item m="1" x="637"/>
        <item x="83"/>
        <item x="241"/>
        <item x="159"/>
        <item x="144"/>
        <item m="1" x="646"/>
        <item m="1" x="572"/>
        <item m="1" x="440"/>
        <item x="107"/>
        <item x="108"/>
        <item m="1" x="509"/>
        <item m="1" x="444"/>
        <item x="125"/>
        <item x="69"/>
        <item m="1" x="531"/>
        <item m="1" x="678"/>
        <item m="1" x="410"/>
        <item x="301"/>
        <item x="201"/>
        <item m="1" x="680"/>
        <item m="1" x="597"/>
        <item m="1" x="542"/>
        <item x="92"/>
        <item m="1" x="566"/>
        <item m="1" x="433"/>
        <item x="135"/>
        <item x="89"/>
        <item x="372"/>
        <item m="1" x="623"/>
        <item m="1" x="627"/>
        <item m="1" x="453"/>
        <item m="1" x="519"/>
        <item x="284"/>
        <item x="227"/>
        <item m="1" x="424"/>
        <item m="1" x="685"/>
        <item x="118"/>
        <item m="1" x="448"/>
        <item m="1" x="436"/>
        <item m="1" x="599"/>
        <item m="1" x="449"/>
        <item x="154"/>
        <item m="1" x="549"/>
        <item m="1" x="578"/>
        <item x="162"/>
        <item m="1" x="539"/>
        <item m="1" x="620"/>
        <item m="1" x="523"/>
        <item m="1" x="466"/>
        <item m="1" x="451"/>
        <item m="1" x="648"/>
        <item m="1" x="415"/>
        <item m="1" x="553"/>
        <item x="124"/>
        <item x="327"/>
        <item x="335"/>
        <item x="396"/>
        <item m="1" x="452"/>
        <item x="131"/>
        <item x="363"/>
        <item m="1" x="617"/>
        <item m="1" x="438"/>
        <item x="387"/>
        <item x="67"/>
        <item x="87"/>
        <item x="117"/>
        <item x="394"/>
        <item x="220"/>
        <item x="221"/>
        <item x="98"/>
        <item m="1" x="577"/>
        <item x="293"/>
        <item x="313"/>
        <item m="1" x="504"/>
        <item x="404"/>
        <item x="407"/>
        <item m="1" x="435"/>
        <item m="1" x="688"/>
        <item m="1" x="634"/>
        <item x="46"/>
        <item x="65"/>
        <item x="66"/>
        <item m="1" x="636"/>
        <item x="43"/>
        <item m="1" x="534"/>
        <item m="1" x="522"/>
        <item x="167"/>
        <item m="1" x="488"/>
        <item x="187"/>
        <item x="188"/>
        <item m="1" x="610"/>
        <item x="199"/>
        <item m="1" x="590"/>
        <item m="1" x="497"/>
        <item x="233"/>
        <item x="235"/>
        <item x="239"/>
        <item x="258"/>
        <item m="1" x="593"/>
        <item m="1" x="686"/>
        <item m="1" x="472"/>
        <item m="1" x="491"/>
        <item m="1" x="666"/>
        <item x="278"/>
        <item m="1" x="669"/>
        <item x="329"/>
        <item m="1" x="540"/>
        <item x="306"/>
        <item x="312"/>
        <item x="231"/>
        <item x="333"/>
        <item x="334"/>
        <item x="352"/>
        <item m="1" x="510"/>
        <item m="1" x="653"/>
        <item x="399"/>
        <item x="406"/>
        <item x="377"/>
        <item m="1" x="485"/>
        <item x="182"/>
        <item x="314"/>
        <item m="1" x="468"/>
        <item x="165"/>
        <item m="1" x="416"/>
        <item m="1" x="558"/>
        <item m="1" x="455"/>
        <item m="1" x="687"/>
        <item x="132"/>
        <item m="1" x="445"/>
        <item x="251"/>
        <item m="1" x="480"/>
        <item m="1" x="454"/>
        <item m="1" x="560"/>
        <item x="307"/>
        <item m="1" x="477"/>
        <item m="1" x="671"/>
        <item x="0"/>
        <item m="1" x="607"/>
        <item m="1" x="691"/>
        <item m="1" x="494"/>
        <item x="228"/>
        <item x="229"/>
        <item m="1" x="562"/>
        <item m="1" x="655"/>
        <item m="1" x="642"/>
        <item m="1" x="431"/>
        <item x="166"/>
        <item x="382"/>
        <item x="195"/>
        <item x="290"/>
        <item x="216"/>
        <item m="1" x="569"/>
        <item m="1" x="673"/>
        <item x="4"/>
        <item x="5"/>
        <item x="10"/>
        <item x="20"/>
        <item x="71"/>
        <item x="109"/>
        <item m="1" x="677"/>
        <item x="310"/>
        <item x="358"/>
        <item x="369"/>
        <item x="373"/>
        <item x="375"/>
        <item x="391"/>
        <item x="31"/>
        <item x="35"/>
        <item x="75"/>
        <item x="86"/>
        <item x="95"/>
        <item x="96"/>
        <item x="99"/>
        <item x="103"/>
        <item x="120"/>
        <item x="122"/>
        <item x="126"/>
        <item x="133"/>
        <item x="134"/>
        <item x="138"/>
        <item x="141"/>
        <item x="142"/>
        <item x="143"/>
        <item x="153"/>
        <item x="160"/>
        <item x="161"/>
        <item x="169"/>
        <item x="176"/>
        <item x="185"/>
        <item x="189"/>
        <item x="192"/>
        <item x="198"/>
        <item x="200"/>
        <item x="204"/>
        <item x="205"/>
        <item x="210"/>
        <item x="212"/>
        <item x="218"/>
        <item x="219"/>
        <item x="224"/>
        <item x="225"/>
        <item x="230"/>
        <item x="254"/>
        <item x="257"/>
        <item x="267"/>
        <item x="270"/>
        <item x="274"/>
        <item x="275"/>
        <item x="276"/>
        <item x="302"/>
        <item x="303"/>
        <item x="304"/>
        <item x="305"/>
        <item x="308"/>
        <item x="321"/>
        <item x="336"/>
        <item x="346"/>
        <item x="366"/>
        <item x="371"/>
        <item x="376"/>
        <item x="379"/>
        <item x="384"/>
        <item x="388"/>
        <item x="400"/>
        <item x="401"/>
        <item x="403"/>
        <item x="405"/>
        <item x="34"/>
        <item x="197"/>
        <item x="246"/>
        <item x="256"/>
        <item x="282"/>
        <item x="289"/>
        <item x="296"/>
        <item x="297"/>
        <item x="316"/>
        <item x="326"/>
        <item x="328"/>
        <item x="370"/>
        <item x="121"/>
        <item x="155"/>
        <item x="252"/>
        <item x="253"/>
        <item x="150"/>
        <item x="390"/>
        <item x="211"/>
        <item x="337"/>
        <item x="339"/>
        <item x="357"/>
        <item x="12"/>
        <item x="13"/>
        <item x="15"/>
        <item x="16"/>
        <item x="27"/>
        <item x="45"/>
        <item x="123"/>
        <item x="156"/>
        <item x="232"/>
        <item x="237"/>
        <item x="364"/>
        <item x="385"/>
        <item x="389"/>
        <item x="398"/>
        <item x="93"/>
        <item x="105"/>
        <item x="106"/>
        <item x="163"/>
        <item x="168"/>
        <item x="178"/>
        <item x="183"/>
        <item x="186"/>
        <item x="208"/>
        <item x="255"/>
        <item x="259"/>
        <item x="261"/>
        <item x="269"/>
        <item x="280"/>
        <item x="300"/>
        <item x="324"/>
        <item x="325"/>
        <item x="330"/>
        <item x="331"/>
        <item x="341"/>
        <item x="345"/>
        <item x="347"/>
        <item x="350"/>
        <item x="351"/>
        <item x="353"/>
        <item x="354"/>
        <item x="356"/>
        <item x="360"/>
        <item x="362"/>
        <item x="368"/>
        <item x="380"/>
        <item x="381"/>
        <item x="392"/>
        <item x="393"/>
        <item x="397"/>
      </items>
    </pivotField>
    <pivotField compact="0" numFmtId="3" outline="0" showAll="0" defaultSubtotal="0"/>
    <pivotField compact="0" numFmtId="3" outline="0" showAll="0" defaultSubtotal="0"/>
    <pivotField axis="axisRow" compact="0" outline="0" showAll="0" defaultSubtotal="0">
      <items count="25">
        <item x="1"/>
        <item m="1" x="6"/>
        <item m="1" x="17"/>
        <item m="1" x="5"/>
        <item m="1" x="19"/>
        <item m="1" x="18"/>
        <item m="1" x="20"/>
        <item m="1" x="4"/>
        <item m="1" x="16"/>
        <item m="1" x="9"/>
        <item m="1" x="22"/>
        <item m="1" x="14"/>
        <item m="1" x="15"/>
        <item m="1" x="8"/>
        <item m="1" x="21"/>
        <item m="1" x="24"/>
        <item m="1" x="7"/>
        <item m="1" x="10"/>
        <item m="1" x="13"/>
        <item m="1" x="23"/>
        <item m="1" x="12"/>
        <item m="1" x="11"/>
        <item m="1" x="3"/>
        <item m="1" x="2"/>
        <item x="0"/>
      </items>
    </pivotField>
  </pivotFields>
  <rowFields count="4">
    <field x="2"/>
    <field x="3"/>
    <field x="1"/>
    <field x="6"/>
  </rowFields>
  <colItems count="1">
    <i/>
  </colItems>
  <pageFields count="1">
    <pageField fld="0" hier="-1"/>
  </pageFields>
  <formats count="9">
    <format dxfId="113">
      <pivotArea dataOnly="0" labelOnly="1" outline="0" fieldPosition="0">
        <references count="1">
          <reference field="2" count="0"/>
        </references>
      </pivotArea>
    </format>
    <format dxfId="112">
      <pivotArea field="2" type="button" dataOnly="0" labelOnly="1" outline="0" axis="axisRow" fieldPosition="0"/>
    </format>
    <format dxfId="111">
      <pivotArea field="3" type="button" dataOnly="0" labelOnly="1" outline="0" axis="axisRow" fieldPosition="1"/>
    </format>
    <format dxfId="110">
      <pivotArea field="1" type="button" dataOnly="0" labelOnly="1" outline="0" axis="axisRow" fieldPosition="2"/>
    </format>
    <format dxfId="109">
      <pivotArea field="0" type="button" dataOnly="0" labelOnly="1" outline="0" axis="axisPage" fieldPosition="0"/>
    </format>
    <format dxfId="108">
      <pivotArea dataOnly="0" labelOnly="1" outline="0" fieldPosition="0">
        <references count="1">
          <reference field="0" count="1">
            <x v="0"/>
          </reference>
        </references>
      </pivotArea>
    </format>
    <format dxfId="107">
      <pivotArea field="0" type="button" dataOnly="0" labelOnly="1" outline="0" axis="axisPage" fieldPosition="0"/>
    </format>
    <format dxfId="106">
      <pivotArea dataOnly="0" labelOnly="1" outline="0" fieldPosition="0">
        <references count="1">
          <reference field="1" count="0"/>
        </references>
      </pivotArea>
    </format>
    <format dxfId="105">
      <pivotArea field="6" type="button" dataOnly="0" labelOnly="1" outline="0" axis="axisRow" fieldPosition="3"/>
    </format>
  </formats>
  <pivotTableStyleInfo name="PivotStyleMedium7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349" dT="2025-09-20T16:34:03.85" personId="{7281A357-31DD-4638-B7EE-CB67E83535F5}" id="{895FEFC3-7024-4EFC-861E-895EFB2B635C}">
    <text>PLUSQUELLEC (cf FFTT)</text>
  </threadedComment>
  <threadedComment ref="C353" dT="2025-09-20T16:34:30.91" personId="{7281A357-31DD-4638-B7EE-CB67E83535F5}" id="{83CE3FDD-D21E-4F95-8F22-B9175AD2BC2E}">
    <text>TYCHKEWITCHE (cf FFTT)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ufolep.equipe4@gmail.com%0a" TargetMode="External"/><Relationship Id="rId1" Type="http://schemas.openxmlformats.org/officeDocument/2006/relationships/pivotTable" Target="../pivotTables/pivotTable2.xml"/><Relationship Id="rId6" Type="http://schemas.openxmlformats.org/officeDocument/2006/relationships/comments" Target="../comments2.xml"/><Relationship Id="rId5" Type="http://schemas.openxmlformats.org/officeDocument/2006/relationships/vmlDrawing" Target="../drawings/vmlDrawing2.vml"/><Relationship Id="rId4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alain.guillomet@orange.fr" TargetMode="External"/><Relationship Id="rId1" Type="http://schemas.openxmlformats.org/officeDocument/2006/relationships/pivotTable" Target="../pivotTables/pivotTable3.xml"/><Relationship Id="rId6" Type="http://schemas.openxmlformats.org/officeDocument/2006/relationships/comments" Target="../comments3.xml"/><Relationship Id="rId5" Type="http://schemas.openxmlformats.org/officeDocument/2006/relationships/vmlDrawing" Target="../drawings/vmlDrawing3.vml"/><Relationship Id="rId4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mailto:alain.guillomet@orange.fr" TargetMode="External"/><Relationship Id="rId1" Type="http://schemas.openxmlformats.org/officeDocument/2006/relationships/pivotTable" Target="../pivotTables/pivotTable4.xml"/><Relationship Id="rId6" Type="http://schemas.openxmlformats.org/officeDocument/2006/relationships/comments" Target="../comments4.xml"/><Relationship Id="rId5" Type="http://schemas.openxmlformats.org/officeDocument/2006/relationships/vmlDrawing" Target="../drawings/vmlDrawing4.vml"/><Relationship Id="rId4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9.bin"/><Relationship Id="rId1" Type="http://schemas.openxmlformats.org/officeDocument/2006/relationships/pivotTable" Target="../pivotTables/pivotTable5.xml"/><Relationship Id="rId5" Type="http://schemas.openxmlformats.org/officeDocument/2006/relationships/comments" Target="../comments5.xml"/><Relationship Id="rId4" Type="http://schemas.openxmlformats.org/officeDocument/2006/relationships/vmlDrawing" Target="../drawings/vmlDrawing5.v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1.bin"/><Relationship Id="rId2" Type="http://schemas.openxmlformats.org/officeDocument/2006/relationships/hyperlink" Target="mailto:alain.guillomet@orange.fr" TargetMode="External"/><Relationship Id="rId1" Type="http://schemas.openxmlformats.org/officeDocument/2006/relationships/pivotTable" Target="../pivotTables/pivotTable6.xml"/><Relationship Id="rId6" Type="http://schemas.openxmlformats.org/officeDocument/2006/relationships/comments" Target="../comments6.xml"/><Relationship Id="rId5" Type="http://schemas.openxmlformats.org/officeDocument/2006/relationships/vmlDrawing" Target="../drawings/vmlDrawing6.vml"/><Relationship Id="rId4" Type="http://schemas.openxmlformats.org/officeDocument/2006/relationships/drawing" Target="../drawings/drawing6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7.xm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mailto:cslvtt@outlook.fr" TargetMode="External"/><Relationship Id="rId3" Type="http://schemas.openxmlformats.org/officeDocument/2006/relationships/hyperlink" Target="mailto:wartelle_laurent@orange.fr" TargetMode="External"/><Relationship Id="rId7" Type="http://schemas.openxmlformats.org/officeDocument/2006/relationships/hyperlink" Target="mailto:cttmonthyon@gmail.com" TargetMode="External"/><Relationship Id="rId12" Type="http://schemas.openxmlformats.org/officeDocument/2006/relationships/customProperty" Target="../customProperty2.bin"/><Relationship Id="rId2" Type="http://schemas.openxmlformats.org/officeDocument/2006/relationships/hyperlink" Target="mailto:patricetissievy@hotmail.com" TargetMode="External"/><Relationship Id="rId1" Type="http://schemas.openxmlformats.org/officeDocument/2006/relationships/hyperlink" Target="mailto:pascalr2009@gmail.com" TargetMode="External"/><Relationship Id="rId6" Type="http://schemas.openxmlformats.org/officeDocument/2006/relationships/hyperlink" Target="mailto:isatranvan@gmail.com" TargetMode="External"/><Relationship Id="rId11" Type="http://schemas.openxmlformats.org/officeDocument/2006/relationships/printerSettings" Target="../printerSettings/printerSettings14.bin"/><Relationship Id="rId5" Type="http://schemas.openxmlformats.org/officeDocument/2006/relationships/hyperlink" Target="mailto:as.tennisdetable@orange.fr" TargetMode="External"/><Relationship Id="rId10" Type="http://schemas.openxmlformats.org/officeDocument/2006/relationships/hyperlink" Target="mailto:usmtt77.varenguin@gmail.com" TargetMode="External"/><Relationship Id="rId4" Type="http://schemas.openxmlformats.org/officeDocument/2006/relationships/hyperlink" Target="mailto:agnes.tanguy@free.fr" TargetMode="External"/><Relationship Id="rId9" Type="http://schemas.openxmlformats.org/officeDocument/2006/relationships/hyperlink" Target="mailto:cdrouault.asso@orang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tabColor rgb="FFFFFF00"/>
  </sheetPr>
  <dimension ref="A1:CU144"/>
  <sheetViews>
    <sheetView showGridLines="0" topLeftCell="Y1" zoomScale="80" zoomScaleNormal="80" zoomScaleSheetLayoutView="80" workbookViewId="0">
      <selection activeCell="AX61" sqref="AX61"/>
    </sheetView>
  </sheetViews>
  <sheetFormatPr baseColWidth="10" defaultRowHeight="20" customHeight="1" outlineLevelCol="1" x14ac:dyDescent="0.2"/>
  <cols>
    <col min="1" max="27" width="7" customWidth="1"/>
    <col min="28" max="28" width="2.1640625" customWidth="1"/>
    <col min="29" max="29" width="22.1640625" customWidth="1"/>
    <col min="30" max="30" width="19.1640625" customWidth="1"/>
    <col min="31" max="31" width="7.83203125" style="1" customWidth="1"/>
    <col min="32" max="32" width="27" bestFit="1" customWidth="1"/>
    <col min="33" max="33" width="26.33203125" bestFit="1" customWidth="1"/>
    <col min="34" max="47" width="4.6640625" hidden="1" customWidth="1" outlineLevel="1"/>
    <col min="48" max="49" width="4.6640625" style="3" hidden="1" customWidth="1" outlineLevel="1"/>
    <col min="50" max="50" width="16.6640625" style="3" customWidth="1" collapsed="1"/>
    <col min="51" max="51" width="11.6640625" hidden="1" customWidth="1" outlineLevel="1"/>
    <col min="52" max="52" width="10.33203125" hidden="1" customWidth="1" outlineLevel="1"/>
    <col min="53" max="53" width="16.6640625" hidden="1" customWidth="1" outlineLevel="1"/>
    <col min="54" max="54" width="10.6640625" hidden="1" customWidth="1" outlineLevel="1"/>
    <col min="55" max="55" width="10.33203125" hidden="1" customWidth="1" outlineLevel="1"/>
    <col min="56" max="56" width="14.6640625" hidden="1" customWidth="1" outlineLevel="1"/>
    <col min="57" max="57" width="9.83203125" hidden="1" customWidth="1" outlineLevel="1"/>
    <col min="58" max="58" width="11.33203125" hidden="1" customWidth="1" outlineLevel="1"/>
    <col min="59" max="59" width="6.6640625" hidden="1" customWidth="1" outlineLevel="1"/>
    <col min="60" max="60" width="10.5" hidden="1" customWidth="1" outlineLevel="1"/>
    <col min="61" max="62" width="11.33203125" hidden="1" customWidth="1" outlineLevel="1"/>
    <col min="63" max="63" width="12.6640625" hidden="1" customWidth="1" outlineLevel="1"/>
    <col min="64" max="64" width="11.6640625" hidden="1" customWidth="1" outlineLevel="1"/>
    <col min="65" max="65" width="11.33203125" customWidth="1" collapsed="1"/>
    <col min="66" max="66" width="12.6640625" customWidth="1"/>
    <col min="67" max="67" width="9.1640625" customWidth="1"/>
    <col min="68" max="68" width="10.5" customWidth="1"/>
    <col min="69" max="69" width="7.33203125" customWidth="1"/>
    <col min="70" max="70" width="8.83203125" customWidth="1"/>
    <col min="71" max="71" width="12.83203125" customWidth="1"/>
    <col min="72" max="72" width="8.5" customWidth="1"/>
    <col min="73" max="73" width="8.83203125" customWidth="1"/>
    <col min="74" max="74" width="8.5" customWidth="1"/>
    <col min="75" max="75" width="13.83203125" customWidth="1"/>
    <col min="76" max="76" width="12.1640625" customWidth="1"/>
    <col min="77" max="77" width="12" customWidth="1"/>
    <col min="78" max="78" width="14.6640625" customWidth="1"/>
    <col min="79" max="79" width="16.1640625" hidden="1" customWidth="1" outlineLevel="1"/>
    <col min="80" max="80" width="8.6640625" hidden="1" customWidth="1" outlineLevel="1"/>
    <col min="81" max="81" width="9.6640625" hidden="1" customWidth="1" outlineLevel="1"/>
    <col min="82" max="82" width="12.33203125" hidden="1" customWidth="1" outlineLevel="1"/>
    <col min="83" max="83" width="11" hidden="1" customWidth="1" outlineLevel="1"/>
    <col min="84" max="84" width="7.33203125" hidden="1" customWidth="1" outlineLevel="1"/>
    <col min="85" max="85" width="12.83203125" hidden="1" customWidth="1" outlineLevel="1"/>
    <col min="86" max="86" width="10.33203125" hidden="1" customWidth="1" outlineLevel="1"/>
    <col min="87" max="87" width="11.6640625" hidden="1" customWidth="1" outlineLevel="1"/>
    <col min="88" max="88" width="7.33203125" hidden="1" customWidth="1" outlineLevel="1"/>
    <col min="89" max="89" width="9.1640625" hidden="1" customWidth="1" outlineLevel="1"/>
    <col min="90" max="90" width="11" hidden="1" customWidth="1" outlineLevel="1"/>
    <col min="91" max="91" width="13.1640625" hidden="1" customWidth="1" outlineLevel="1"/>
    <col min="92" max="92" width="7.33203125" hidden="1" customWidth="1" outlineLevel="1"/>
    <col min="93" max="93" width="16.33203125" hidden="1" customWidth="1" outlineLevel="1"/>
    <col min="94" max="94" width="7.83203125" hidden="1" customWidth="1" outlineLevel="1"/>
    <col min="95" max="95" width="8.5" hidden="1" customWidth="1" outlineLevel="1"/>
    <col min="96" max="96" width="12.83203125" hidden="1" customWidth="1" outlineLevel="1"/>
    <col min="97" max="97" width="9.1640625" hidden="1" customWidth="1" outlineLevel="1"/>
    <col min="98" max="98" width="8.5" hidden="1" customWidth="1" outlineLevel="1"/>
    <col min="99" max="99" width="7.1640625" customWidth="1" collapsed="1"/>
    <col min="100" max="100" width="7.1640625" customWidth="1"/>
    <col min="101" max="101" width="12.6640625" customWidth="1"/>
    <col min="102" max="102" width="6" customWidth="1"/>
    <col min="103" max="103" width="9.83203125" customWidth="1"/>
    <col min="104" max="104" width="8.83203125" customWidth="1"/>
    <col min="105" max="105" width="7.6640625" customWidth="1"/>
    <col min="106" max="106" width="7.33203125" customWidth="1"/>
    <col min="107" max="107" width="12.83203125" customWidth="1"/>
    <col min="108" max="108" width="7" customWidth="1"/>
    <col min="109" max="109" width="6.6640625" customWidth="1"/>
    <col min="110" max="110" width="6" customWidth="1"/>
    <col min="111" max="111" width="7.33203125" customWidth="1"/>
    <col min="112" max="112" width="8.83203125" customWidth="1"/>
    <col min="113" max="113" width="10.33203125" customWidth="1"/>
    <col min="114" max="114" width="11" customWidth="1"/>
    <col min="115" max="115" width="10.33203125" customWidth="1"/>
    <col min="116" max="116" width="8.1640625" customWidth="1"/>
    <col min="117" max="117" width="9.6640625" customWidth="1"/>
    <col min="118" max="118" width="5.5" customWidth="1"/>
    <col min="119" max="119" width="13.5" customWidth="1"/>
    <col min="120" max="120" width="10.1640625" customWidth="1"/>
    <col min="121" max="121" width="7" customWidth="1"/>
    <col min="122" max="122" width="13" customWidth="1"/>
    <col min="123" max="123" width="12.33203125" customWidth="1"/>
    <col min="124" max="125" width="10.33203125" customWidth="1"/>
    <col min="126" max="126" width="9.83203125" customWidth="1"/>
    <col min="127" max="127" width="12" customWidth="1"/>
    <col min="128" max="128" width="9.6640625" customWidth="1"/>
    <col min="129" max="129" width="11.33203125" customWidth="1"/>
    <col min="130" max="130" width="10.33203125" customWidth="1"/>
    <col min="131" max="131" width="11.1640625" customWidth="1"/>
    <col min="132" max="132" width="11.6640625" customWidth="1"/>
    <col min="133" max="133" width="10.1640625" customWidth="1"/>
    <col min="134" max="134" width="8.6640625" customWidth="1"/>
    <col min="135" max="135" width="12" customWidth="1"/>
    <col min="136" max="136" width="11.1640625" customWidth="1"/>
    <col min="137" max="137" width="10.5" customWidth="1"/>
    <col min="138" max="138" width="13.1640625" customWidth="1"/>
    <col min="139" max="139" width="13.83203125" customWidth="1"/>
    <col min="140" max="140" width="11.6640625" customWidth="1"/>
    <col min="141" max="141" width="9.83203125" customWidth="1"/>
    <col min="142" max="142" width="8.1640625" customWidth="1"/>
    <col min="143" max="143" width="7.6640625" customWidth="1"/>
    <col min="144" max="144" width="6.1640625" customWidth="1"/>
    <col min="145" max="145" width="7.1640625" customWidth="1"/>
    <col min="146" max="147" width="11.1640625" customWidth="1"/>
    <col min="148" max="148" width="6.6640625" customWidth="1"/>
    <col min="149" max="149" width="8.1640625" customWidth="1"/>
    <col min="150" max="150" width="8.5" customWidth="1"/>
    <col min="151" max="151" width="6.6640625" customWidth="1"/>
    <col min="152" max="152" width="15.33203125" customWidth="1"/>
    <col min="153" max="153" width="12.6640625" customWidth="1"/>
    <col min="154" max="154" width="16.1640625" customWidth="1"/>
    <col min="155" max="155" width="14.1640625" customWidth="1"/>
    <col min="156" max="156" width="15.1640625" bestFit="1" customWidth="1"/>
    <col min="157" max="157" width="17.33203125" customWidth="1"/>
    <col min="158" max="158" width="16" customWidth="1"/>
    <col min="159" max="159" width="18.1640625" customWidth="1"/>
    <col min="160" max="160" width="11.6640625" customWidth="1"/>
    <col min="161" max="161" width="13.83203125" customWidth="1"/>
    <col min="162" max="162" width="14.83203125" customWidth="1"/>
    <col min="163" max="163" width="9.6640625" customWidth="1"/>
    <col min="164" max="164" width="9.5" customWidth="1"/>
    <col min="165" max="165" width="9.6640625" customWidth="1"/>
    <col min="166" max="166" width="10.6640625" customWidth="1"/>
    <col min="167" max="167" width="6.6640625" customWidth="1"/>
    <col min="168" max="168" width="12.6640625" customWidth="1"/>
    <col min="169" max="169" width="7.33203125" customWidth="1"/>
    <col min="170" max="170" width="6.6640625" customWidth="1"/>
    <col min="171" max="171" width="7.83203125" customWidth="1"/>
    <col min="172" max="172" width="6.6640625" customWidth="1"/>
    <col min="173" max="173" width="8.1640625" customWidth="1"/>
    <col min="174" max="174" width="7.33203125" customWidth="1"/>
    <col min="175" max="175" width="14.1640625" customWidth="1"/>
    <col min="176" max="176" width="10.1640625" customWidth="1"/>
    <col min="177" max="177" width="11" customWidth="1"/>
    <col min="178" max="178" width="10.1640625" customWidth="1"/>
    <col min="179" max="179" width="5.33203125" customWidth="1"/>
    <col min="180" max="180" width="7.1640625" customWidth="1"/>
    <col min="181" max="181" width="7" customWidth="1"/>
    <col min="182" max="182" width="5.5" customWidth="1"/>
    <col min="183" max="183" width="8.6640625" customWidth="1"/>
    <col min="184" max="184" width="8.83203125" customWidth="1"/>
    <col min="185" max="185" width="6.1640625" customWidth="1"/>
    <col min="186" max="186" width="11.33203125" customWidth="1"/>
    <col min="187" max="188" width="7.6640625" customWidth="1"/>
    <col min="189" max="189" width="5.5" customWidth="1"/>
    <col min="190" max="190" width="7" customWidth="1"/>
    <col min="191" max="191" width="8.5" customWidth="1"/>
    <col min="192" max="192" width="8.6640625" customWidth="1"/>
    <col min="193" max="193" width="10.5" customWidth="1"/>
    <col min="194" max="194" width="6" customWidth="1"/>
    <col min="195" max="195" width="7" customWidth="1"/>
    <col min="196" max="196" width="9.1640625" customWidth="1"/>
    <col min="197" max="197" width="9.83203125" customWidth="1"/>
    <col min="198" max="198" width="7.33203125" customWidth="1"/>
    <col min="199" max="199" width="9.83203125" customWidth="1"/>
    <col min="200" max="200" width="7.6640625" customWidth="1"/>
    <col min="201" max="201" width="18.6640625" customWidth="1"/>
    <col min="202" max="202" width="18.5" customWidth="1"/>
    <col min="203" max="203" width="8" customWidth="1"/>
    <col min="204" max="204" width="9.5" customWidth="1"/>
    <col min="205" max="205" width="8.6640625" customWidth="1"/>
    <col min="206" max="206" width="10.5" customWidth="1"/>
    <col min="207" max="207" width="10.33203125" customWidth="1"/>
    <col min="208" max="208" width="9.1640625" customWidth="1"/>
    <col min="209" max="209" width="10.1640625" customWidth="1"/>
    <col min="210" max="210" width="9.83203125" customWidth="1"/>
    <col min="211" max="211" width="11.33203125" customWidth="1"/>
    <col min="212" max="212" width="11.6640625" customWidth="1"/>
    <col min="213" max="213" width="11.33203125" customWidth="1"/>
    <col min="214" max="214" width="9.1640625" customWidth="1"/>
    <col min="215" max="215" width="6.1640625" customWidth="1"/>
    <col min="216" max="216" width="10.1640625" customWidth="1"/>
    <col min="217" max="217" width="10.33203125" customWidth="1"/>
    <col min="218" max="218" width="8.83203125" customWidth="1"/>
    <col min="219" max="219" width="10.33203125" customWidth="1"/>
    <col min="220" max="220" width="7.6640625" customWidth="1"/>
    <col min="221" max="221" width="11" customWidth="1"/>
    <col min="222" max="222" width="10.6640625" customWidth="1"/>
    <col min="223" max="223" width="9.6640625" customWidth="1"/>
    <col min="224" max="224" width="11.33203125" customWidth="1"/>
    <col min="225" max="225" width="9.83203125" customWidth="1"/>
    <col min="226" max="226" width="10.5" customWidth="1"/>
    <col min="227" max="227" width="6" customWidth="1"/>
    <col min="228" max="228" width="7.33203125" customWidth="1"/>
    <col min="229" max="229" width="5.6640625" customWidth="1"/>
    <col min="230" max="231" width="9.1640625" customWidth="1"/>
    <col min="232" max="232" width="8.83203125" customWidth="1"/>
    <col min="233" max="233" width="9.83203125" customWidth="1"/>
    <col min="234" max="234" width="11.1640625" customWidth="1"/>
    <col min="235" max="235" width="10.1640625" customWidth="1"/>
    <col min="236" max="236" width="10.33203125" customWidth="1"/>
    <col min="237" max="237" width="7" customWidth="1"/>
    <col min="238" max="238" width="10.5" customWidth="1"/>
    <col min="239" max="239" width="8.6640625" customWidth="1"/>
    <col min="240" max="240" width="15.33203125" customWidth="1"/>
    <col min="241" max="241" width="10.33203125" customWidth="1"/>
    <col min="242" max="242" width="11.1640625" customWidth="1"/>
    <col min="243" max="243" width="12" customWidth="1"/>
    <col min="244" max="244" width="7.6640625" customWidth="1"/>
    <col min="245" max="245" width="6.1640625" customWidth="1"/>
    <col min="246" max="246" width="7.1640625" customWidth="1"/>
    <col min="247" max="247" width="9.83203125" customWidth="1"/>
    <col min="248" max="248" width="6.6640625" customWidth="1"/>
    <col min="249" max="249" width="10.5" customWidth="1"/>
    <col min="250" max="250" width="9.83203125" customWidth="1"/>
    <col min="251" max="251" width="11.1640625" customWidth="1"/>
    <col min="252" max="252" width="7.83203125" customWidth="1"/>
    <col min="253" max="253" width="10.1640625" customWidth="1"/>
    <col min="254" max="254" width="9.5" customWidth="1"/>
    <col min="255" max="255" width="9.1640625" customWidth="1"/>
    <col min="256" max="256" width="8.5" customWidth="1"/>
    <col min="257" max="257" width="8.83203125" customWidth="1"/>
    <col min="258" max="258" width="10.5" customWidth="1"/>
    <col min="259" max="259" width="8.6640625" customWidth="1"/>
    <col min="260" max="260" width="13" customWidth="1"/>
    <col min="261" max="261" width="11.6640625" customWidth="1"/>
    <col min="262" max="262" width="12.83203125" customWidth="1"/>
    <col min="263" max="263" width="8.5" customWidth="1"/>
    <col min="264" max="264" width="5.6640625" customWidth="1"/>
    <col min="265" max="265" width="8.83203125" customWidth="1"/>
    <col min="266" max="266" width="19.1640625" customWidth="1"/>
    <col min="267" max="267" width="8.83203125" customWidth="1"/>
    <col min="268" max="268" width="12.33203125" customWidth="1"/>
    <col min="269" max="269" width="12.83203125" customWidth="1"/>
    <col min="270" max="270" width="9.6640625" customWidth="1"/>
    <col min="271" max="271" width="10.33203125" customWidth="1"/>
    <col min="272" max="272" width="8.83203125" customWidth="1"/>
    <col min="273" max="273" width="8.1640625" customWidth="1"/>
    <col min="274" max="274" width="5.5" customWidth="1"/>
    <col min="275" max="275" width="7" customWidth="1"/>
    <col min="276" max="276" width="11.33203125" customWidth="1"/>
    <col min="277" max="278" width="10.1640625" customWidth="1"/>
    <col min="279" max="279" width="10.33203125" customWidth="1"/>
    <col min="280" max="280" width="5.5" customWidth="1"/>
    <col min="281" max="281" width="11.6640625" customWidth="1"/>
    <col min="282" max="282" width="10.33203125" customWidth="1"/>
    <col min="283" max="283" width="6" customWidth="1"/>
    <col min="284" max="284" width="12.6640625" customWidth="1"/>
    <col min="285" max="285" width="7.1640625" customWidth="1"/>
    <col min="286" max="286" width="15.1640625" customWidth="1"/>
    <col min="287" max="287" width="10.1640625" customWidth="1"/>
    <col min="288" max="288" width="11.33203125" customWidth="1"/>
    <col min="289" max="289" width="9.83203125" customWidth="1"/>
    <col min="290" max="290" width="13.5" customWidth="1"/>
    <col min="291" max="291" width="9.1640625" customWidth="1"/>
    <col min="292" max="292" width="10.1640625" customWidth="1"/>
    <col min="293" max="293" width="8.83203125" customWidth="1"/>
    <col min="294" max="294" width="10.5" customWidth="1"/>
    <col min="295" max="295" width="10.33203125" customWidth="1"/>
    <col min="296" max="296" width="11.33203125" customWidth="1"/>
    <col min="297" max="297" width="10.33203125" customWidth="1"/>
    <col min="298" max="298" width="10.5" customWidth="1"/>
    <col min="299" max="299" width="13.83203125" customWidth="1"/>
    <col min="300" max="300" width="8.1640625" customWidth="1"/>
    <col min="301" max="301" width="11.1640625" customWidth="1"/>
    <col min="302" max="302" width="20.33203125" customWidth="1"/>
    <col min="303" max="303" width="12.83203125" customWidth="1"/>
    <col min="304" max="304" width="16.6640625" customWidth="1"/>
    <col min="305" max="305" width="12.5" customWidth="1"/>
    <col min="306" max="306" width="7" customWidth="1"/>
    <col min="307" max="307" width="16.1640625" customWidth="1"/>
    <col min="308" max="308" width="10.1640625" customWidth="1"/>
    <col min="309" max="309" width="13" customWidth="1"/>
    <col min="310" max="310" width="11.1640625" customWidth="1"/>
    <col min="311" max="311" width="14.83203125" bestFit="1" customWidth="1"/>
    <col min="312" max="312" width="10.1640625" customWidth="1"/>
    <col min="313" max="313" width="11.33203125" customWidth="1"/>
    <col min="314" max="314" width="8.6640625" customWidth="1"/>
    <col min="315" max="315" width="12.33203125" bestFit="1" customWidth="1"/>
    <col min="316" max="316" width="16.33203125" bestFit="1" customWidth="1"/>
    <col min="317" max="317" width="6.6640625" customWidth="1"/>
    <col min="318" max="318" width="14.1640625" customWidth="1"/>
    <col min="319" max="319" width="12.83203125" customWidth="1"/>
    <col min="320" max="320" width="10.5" customWidth="1"/>
    <col min="321" max="321" width="16.6640625" bestFit="1" customWidth="1"/>
    <col min="322" max="322" width="12.5" customWidth="1"/>
    <col min="323" max="323" width="16.1640625" customWidth="1"/>
    <col min="324" max="324" width="16.6640625" customWidth="1"/>
    <col min="325" max="325" width="20.5" customWidth="1"/>
    <col min="326" max="326" width="26.6640625" customWidth="1"/>
    <col min="327" max="327" width="8.83203125" customWidth="1"/>
    <col min="328" max="328" width="30.5" bestFit="1" customWidth="1"/>
    <col min="329" max="329" width="17.1640625" customWidth="1"/>
    <col min="330" max="330" width="21.1640625" customWidth="1"/>
    <col min="331" max="331" width="11" customWidth="1"/>
    <col min="332" max="332" width="14.6640625" customWidth="1"/>
    <col min="333" max="333" width="13.1640625" customWidth="1"/>
    <col min="334" max="334" width="16.6640625" customWidth="1"/>
    <col min="335" max="335" width="14.33203125" bestFit="1" customWidth="1"/>
    <col min="336" max="336" width="18" customWidth="1"/>
    <col min="337" max="337" width="12.83203125" bestFit="1" customWidth="1"/>
    <col min="338" max="338" width="13.83203125" customWidth="1"/>
    <col min="339" max="339" width="13.1640625" customWidth="1"/>
    <col min="340" max="340" width="9.6640625" customWidth="1"/>
    <col min="341" max="341" width="17" customWidth="1"/>
    <col min="342" max="342" width="11.6640625" customWidth="1"/>
    <col min="343" max="343" width="15.33203125" bestFit="1" customWidth="1"/>
    <col min="344" max="344" width="16" customWidth="1"/>
    <col min="345" max="345" width="8.6640625" customWidth="1"/>
    <col min="346" max="346" width="18.1640625" customWidth="1"/>
    <col min="347" max="347" width="11.6640625" customWidth="1"/>
    <col min="348" max="348" width="15.33203125" customWidth="1"/>
    <col min="349" max="349" width="13.83203125" bestFit="1" customWidth="1"/>
    <col min="350" max="350" width="17.6640625" bestFit="1" customWidth="1"/>
    <col min="351" max="351" width="11.33203125" customWidth="1"/>
    <col min="352" max="352" width="15.1640625" bestFit="1" customWidth="1"/>
    <col min="353" max="353" width="10" customWidth="1"/>
    <col min="354" max="354" width="13.6640625" customWidth="1"/>
    <col min="355" max="355" width="10.5" customWidth="1"/>
    <col min="356" max="357" width="11.1640625" customWidth="1"/>
    <col min="358" max="358" width="14.83203125" bestFit="1" customWidth="1"/>
    <col min="359" max="359" width="10.1640625" customWidth="1"/>
    <col min="360" max="360" width="13.83203125" bestFit="1" customWidth="1"/>
    <col min="361" max="361" width="20.6640625" bestFit="1" customWidth="1"/>
    <col min="362" max="362" width="24.5" customWidth="1"/>
    <col min="363" max="363" width="10.1640625" customWidth="1"/>
    <col min="364" max="364" width="11" customWidth="1"/>
    <col min="365" max="365" width="13.83203125" customWidth="1"/>
    <col min="366" max="366" width="14.83203125" customWidth="1"/>
    <col min="367" max="367" width="12.6640625" bestFit="1" customWidth="1"/>
    <col min="368" max="368" width="15.33203125" customWidth="1"/>
    <col min="369" max="369" width="8.5" customWidth="1"/>
    <col min="370" max="370" width="19.1640625" bestFit="1" customWidth="1"/>
    <col min="371" max="371" width="10.33203125" customWidth="1"/>
    <col min="372" max="372" width="13.5" customWidth="1"/>
    <col min="373" max="373" width="12.83203125" customWidth="1"/>
    <col min="374" max="374" width="9.5" customWidth="1"/>
    <col min="375" max="375" width="16.6640625" bestFit="1" customWidth="1"/>
    <col min="376" max="376" width="13.6640625" bestFit="1" customWidth="1"/>
    <col min="377" max="377" width="17.33203125" bestFit="1" customWidth="1"/>
    <col min="378" max="378" width="11.33203125" bestFit="1" customWidth="1"/>
    <col min="379" max="379" width="12.83203125" bestFit="1" customWidth="1"/>
    <col min="380" max="380" width="18.5" customWidth="1"/>
    <col min="381" max="381" width="10.33203125" customWidth="1"/>
    <col min="382" max="382" width="15.1640625" bestFit="1" customWidth="1"/>
    <col min="383" max="383" width="13.83203125" bestFit="1" customWidth="1"/>
    <col min="384" max="384" width="17.6640625" customWidth="1"/>
    <col min="385" max="385" width="15.1640625" customWidth="1"/>
    <col min="386" max="386" width="18.83203125" customWidth="1"/>
    <col min="387" max="387" width="13.5" customWidth="1"/>
    <col min="388" max="388" width="17.1640625" customWidth="1"/>
    <col min="389" max="389" width="11.83203125" customWidth="1"/>
    <col min="390" max="390" width="15.5" customWidth="1"/>
    <col min="391" max="391" width="11.6640625" customWidth="1"/>
    <col min="392" max="392" width="15.33203125" customWidth="1"/>
    <col min="393" max="393" width="12.83203125" customWidth="1"/>
    <col min="394" max="394" width="16.6640625" bestFit="1" customWidth="1"/>
    <col min="395" max="395" width="9.1640625" customWidth="1"/>
    <col min="396" max="396" width="10.33203125" customWidth="1"/>
    <col min="397" max="397" width="12.1640625" customWidth="1"/>
    <col min="398" max="398" width="11.33203125" customWidth="1"/>
    <col min="399" max="399" width="15.1640625" customWidth="1"/>
    <col min="400" max="400" width="14.33203125" customWidth="1"/>
    <col min="401" max="401" width="18" bestFit="1" customWidth="1"/>
    <col min="402" max="402" width="12" customWidth="1"/>
    <col min="403" max="403" width="15.6640625" customWidth="1"/>
    <col min="404" max="404" width="10.6640625" customWidth="1"/>
    <col min="405" max="405" width="14.5" bestFit="1" customWidth="1"/>
    <col min="406" max="406" width="22" bestFit="1" customWidth="1"/>
    <col min="407" max="407" width="25.6640625" bestFit="1" customWidth="1"/>
    <col min="408" max="408" width="13.83203125" customWidth="1"/>
    <col min="409" max="409" width="16.6640625" bestFit="1" customWidth="1"/>
    <col min="410" max="410" width="13.1640625" bestFit="1" customWidth="1"/>
    <col min="411" max="411" width="17" bestFit="1" customWidth="1"/>
    <col min="412" max="412" width="14.1640625" customWidth="1"/>
    <col min="413" max="413" width="15.5" customWidth="1"/>
    <col min="414" max="414" width="11.1640625" customWidth="1"/>
    <col min="415" max="415" width="14.1640625" customWidth="1"/>
    <col min="416" max="416" width="15.1640625" customWidth="1"/>
    <col min="417" max="417" width="18.83203125" customWidth="1"/>
    <col min="418" max="418" width="10.6640625" customWidth="1"/>
    <col min="419" max="419" width="14.5" customWidth="1"/>
    <col min="420" max="420" width="10.5" customWidth="1"/>
    <col min="421" max="421" width="13.1640625" customWidth="1"/>
    <col min="422" max="422" width="16" bestFit="1" customWidth="1"/>
    <col min="423" max="423" width="19.6640625" customWidth="1"/>
    <col min="424" max="424" width="13.83203125" customWidth="1"/>
    <col min="425" max="425" width="14.6640625" customWidth="1"/>
    <col min="426" max="426" width="14.5" bestFit="1" customWidth="1"/>
    <col min="427" max="427" width="14.6640625" customWidth="1"/>
    <col min="428" max="428" width="18.5" bestFit="1" customWidth="1"/>
    <col min="429" max="429" width="12.33203125" customWidth="1"/>
    <col min="430" max="430" width="15.6640625" bestFit="1" customWidth="1"/>
    <col min="431" max="431" width="10.6640625" customWidth="1"/>
    <col min="432" max="432" width="14.5" bestFit="1" customWidth="1"/>
    <col min="433" max="433" width="14.33203125" customWidth="1"/>
    <col min="434" max="434" width="18" customWidth="1"/>
    <col min="435" max="435" width="13.1640625" customWidth="1"/>
    <col min="436" max="436" width="16.6640625" bestFit="1" customWidth="1"/>
    <col min="437" max="437" width="13.1640625" customWidth="1"/>
    <col min="438" max="438" width="17" customWidth="1"/>
    <col min="439" max="439" width="15" bestFit="1" customWidth="1"/>
    <col min="440" max="440" width="18.6640625" bestFit="1" customWidth="1"/>
    <col min="441" max="441" width="12" bestFit="1" customWidth="1"/>
    <col min="442" max="442" width="15.6640625" bestFit="1" customWidth="1"/>
    <col min="443" max="443" width="11.83203125" customWidth="1"/>
    <col min="444" max="444" width="15.5" bestFit="1" customWidth="1"/>
    <col min="445" max="445" width="13.83203125" customWidth="1"/>
    <col min="446" max="446" width="17.6640625" customWidth="1"/>
    <col min="447" max="447" width="12.1640625" customWidth="1"/>
    <col min="448" max="448" width="16" customWidth="1"/>
    <col min="449" max="449" width="11.33203125" customWidth="1"/>
    <col min="450" max="450" width="15.1640625" customWidth="1"/>
    <col min="451" max="451" width="15.1640625" bestFit="1" customWidth="1"/>
    <col min="452" max="452" width="18.83203125" bestFit="1" customWidth="1"/>
    <col min="453" max="453" width="16.1640625" customWidth="1"/>
    <col min="454" max="454" width="17.33203125" customWidth="1"/>
    <col min="455" max="455" width="13.5" customWidth="1"/>
    <col min="456" max="456" width="17.1640625" customWidth="1"/>
    <col min="457" max="457" width="12" customWidth="1"/>
    <col min="458" max="458" width="15.6640625" bestFit="1" customWidth="1"/>
    <col min="459" max="459" width="13.83203125" bestFit="1" customWidth="1"/>
    <col min="460" max="460" width="10.33203125" customWidth="1"/>
    <col min="461" max="461" width="15.5" customWidth="1"/>
    <col min="462" max="462" width="14.33203125" customWidth="1"/>
    <col min="463" max="463" width="18" customWidth="1"/>
    <col min="464" max="464" width="18.6640625" bestFit="1" customWidth="1"/>
    <col min="465" max="465" width="18.1640625" customWidth="1"/>
    <col min="466" max="466" width="13.83203125" bestFit="1" customWidth="1"/>
    <col min="467" max="467" width="13.6640625" bestFit="1" customWidth="1"/>
    <col min="468" max="468" width="10.6640625" customWidth="1"/>
    <col min="469" max="469" width="14.1640625" customWidth="1"/>
    <col min="470" max="470" width="12" customWidth="1"/>
    <col min="471" max="471" width="15.6640625" customWidth="1"/>
    <col min="472" max="472" width="13.5" bestFit="1" customWidth="1"/>
    <col min="473" max="473" width="10.5" customWidth="1"/>
    <col min="474" max="474" width="17.1640625" customWidth="1"/>
    <col min="475" max="475" width="13.6640625" bestFit="1" customWidth="1"/>
    <col min="476" max="476" width="17.33203125" bestFit="1" customWidth="1"/>
    <col min="477" max="477" width="11.33203125" customWidth="1"/>
    <col min="478" max="478" width="10.33203125" customWidth="1"/>
    <col min="479" max="479" width="15.1640625" bestFit="1" customWidth="1"/>
    <col min="480" max="480" width="13.1640625" customWidth="1"/>
    <col min="481" max="481" width="15.33203125" bestFit="1" customWidth="1"/>
    <col min="482" max="482" width="15.1640625" customWidth="1"/>
    <col min="483" max="483" width="11.6640625" customWidth="1"/>
    <col min="484" max="484" width="15.6640625" customWidth="1"/>
    <col min="485" max="485" width="12.1640625" bestFit="1" customWidth="1"/>
    <col min="486" max="486" width="10.33203125" customWidth="1"/>
    <col min="487" max="487" width="14.1640625" customWidth="1"/>
    <col min="488" max="488" width="9.33203125" customWidth="1"/>
    <col min="489" max="489" width="13" bestFit="1" customWidth="1"/>
    <col min="490" max="490" width="14.1640625" customWidth="1"/>
    <col min="491" max="491" width="17.83203125" customWidth="1"/>
    <col min="492" max="492" width="10.5" customWidth="1"/>
    <col min="493" max="493" width="12.33203125" customWidth="1"/>
    <col min="494" max="494" width="13.1640625" customWidth="1"/>
    <col min="495" max="495" width="17" customWidth="1"/>
    <col min="496" max="496" width="12.5" customWidth="1"/>
    <col min="497" max="497" width="16.1640625" customWidth="1"/>
    <col min="498" max="498" width="17" bestFit="1" customWidth="1"/>
    <col min="499" max="499" width="21" bestFit="1" customWidth="1"/>
    <col min="500" max="500" width="11.1640625" customWidth="1"/>
    <col min="501" max="501" width="14.83203125" bestFit="1" customWidth="1"/>
    <col min="502" max="502" width="12.83203125" bestFit="1" customWidth="1"/>
    <col min="503" max="503" width="16.6640625" customWidth="1"/>
    <col min="504" max="504" width="13.1640625" customWidth="1"/>
    <col min="505" max="505" width="11.1640625" customWidth="1"/>
    <col min="506" max="506" width="14.6640625" bestFit="1" customWidth="1"/>
    <col min="507" max="507" width="17" bestFit="1" customWidth="1"/>
    <col min="508" max="508" width="10.1640625" customWidth="1"/>
    <col min="509" max="509" width="13.83203125" bestFit="1" customWidth="1"/>
    <col min="510" max="510" width="16.83203125" bestFit="1" customWidth="1"/>
    <col min="511" max="511" width="20.6640625" bestFit="1" customWidth="1"/>
    <col min="512" max="512" width="14.1640625" bestFit="1" customWidth="1"/>
    <col min="513" max="513" width="14.6640625" bestFit="1" customWidth="1"/>
    <col min="514" max="514" width="11.33203125" bestFit="1" customWidth="1"/>
    <col min="515" max="515" width="12.33203125" bestFit="1" customWidth="1"/>
    <col min="516" max="516" width="16.83203125" bestFit="1" customWidth="1"/>
    <col min="517" max="517" width="20.6640625" bestFit="1" customWidth="1"/>
    <col min="518" max="518" width="16" bestFit="1" customWidth="1"/>
    <col min="519" max="519" width="12.33203125" bestFit="1" customWidth="1"/>
    <col min="520" max="520" width="11.6640625" bestFit="1" customWidth="1"/>
    <col min="521" max="521" width="15.1640625" bestFit="1" customWidth="1"/>
    <col min="522" max="522" width="14.5" bestFit="1" customWidth="1"/>
    <col min="523" max="523" width="18.1640625" bestFit="1" customWidth="1"/>
    <col min="524" max="524" width="11.1640625" bestFit="1" customWidth="1"/>
    <col min="525" max="525" width="14.83203125" bestFit="1" customWidth="1"/>
    <col min="526" max="526" width="16" bestFit="1" customWidth="1"/>
    <col min="527" max="527" width="19.5" bestFit="1" customWidth="1"/>
    <col min="528" max="528" width="11.6640625" bestFit="1" customWidth="1"/>
    <col min="529" max="529" width="15.33203125" bestFit="1" customWidth="1"/>
    <col min="530" max="530" width="12.83203125" bestFit="1" customWidth="1"/>
    <col min="531" max="531" width="16.1640625" bestFit="1" customWidth="1"/>
    <col min="532" max="532" width="11.33203125" bestFit="1" customWidth="1"/>
    <col min="533" max="533" width="15.1640625" bestFit="1" customWidth="1"/>
    <col min="534" max="534" width="15" bestFit="1" customWidth="1"/>
    <col min="535" max="535" width="18.6640625" bestFit="1" customWidth="1"/>
    <col min="536" max="536" width="11.33203125" bestFit="1" customWidth="1"/>
    <col min="537" max="537" width="15.1640625" bestFit="1" customWidth="1"/>
    <col min="538" max="538" width="10.5" customWidth="1"/>
    <col min="539" max="539" width="13.83203125" bestFit="1" customWidth="1"/>
    <col min="540" max="540" width="10.6640625" customWidth="1"/>
    <col min="541" max="541" width="14.1640625" bestFit="1" customWidth="1"/>
    <col min="542" max="542" width="11.33203125" bestFit="1" customWidth="1"/>
    <col min="543" max="543" width="15.1640625" bestFit="1" customWidth="1"/>
    <col min="544" max="544" width="13.1640625" bestFit="1" customWidth="1"/>
    <col min="545" max="545" width="17" bestFit="1" customWidth="1"/>
    <col min="546" max="546" width="11.6640625" bestFit="1" customWidth="1"/>
    <col min="547" max="547" width="15.33203125" bestFit="1" customWidth="1"/>
    <col min="548" max="548" width="10.1640625" customWidth="1"/>
    <col min="549" max="549" width="13.83203125" bestFit="1" customWidth="1"/>
    <col min="550" max="550" width="11.83203125" bestFit="1" customWidth="1"/>
    <col min="551" max="551" width="15.5" bestFit="1" customWidth="1"/>
    <col min="552" max="552" width="12.6640625" bestFit="1" customWidth="1"/>
    <col min="553" max="553" width="8.6640625" customWidth="1"/>
    <col min="554" max="554" width="14.1640625" bestFit="1" customWidth="1"/>
    <col min="556" max="556" width="14.6640625" bestFit="1" customWidth="1"/>
    <col min="557" max="557" width="10.1640625" customWidth="1"/>
    <col min="558" max="558" width="13.6640625" bestFit="1" customWidth="1"/>
    <col min="559" max="559" width="14.33203125" bestFit="1" customWidth="1"/>
    <col min="560" max="560" width="14.6640625" bestFit="1" customWidth="1"/>
    <col min="561" max="561" width="18" bestFit="1" customWidth="1"/>
    <col min="562" max="562" width="12.1640625" bestFit="1" customWidth="1"/>
    <col min="563" max="563" width="14.83203125" bestFit="1" customWidth="1"/>
    <col min="564" max="564" width="12.83203125" bestFit="1" customWidth="1"/>
    <col min="565" max="565" width="16.6640625" bestFit="1" customWidth="1"/>
    <col min="566" max="566" width="15.1640625" bestFit="1" customWidth="1"/>
    <col min="567" max="567" width="18.83203125" bestFit="1" customWidth="1"/>
    <col min="568" max="568" width="12.1640625" bestFit="1" customWidth="1"/>
    <col min="569" max="569" width="16" bestFit="1" customWidth="1"/>
    <col min="570" max="570" width="12.5" bestFit="1" customWidth="1"/>
    <col min="571" max="571" width="16.1640625" bestFit="1" customWidth="1"/>
    <col min="572" max="572" width="15.33203125" bestFit="1" customWidth="1"/>
    <col min="573" max="573" width="13.5" bestFit="1" customWidth="1"/>
    <col min="574" max="574" width="12" bestFit="1" customWidth="1"/>
    <col min="575" max="575" width="15.6640625" bestFit="1" customWidth="1"/>
    <col min="576" max="576" width="18.6640625" bestFit="1" customWidth="1"/>
    <col min="577" max="577" width="22.6640625" bestFit="1" customWidth="1"/>
    <col min="578" max="578" width="11.6640625" bestFit="1" customWidth="1"/>
    <col min="579" max="579" width="14.6640625" bestFit="1" customWidth="1"/>
    <col min="580" max="580" width="12.5" bestFit="1" customWidth="1"/>
    <col min="581" max="581" width="16.1640625" bestFit="1" customWidth="1"/>
    <col min="582" max="582" width="9.6640625" customWidth="1"/>
    <col min="583" max="583" width="13.5" bestFit="1" customWidth="1"/>
    <col min="584" max="584" width="11.33203125" bestFit="1" customWidth="1"/>
    <col min="585" max="585" width="15.1640625" bestFit="1" customWidth="1"/>
    <col min="586" max="586" width="14.6640625" bestFit="1" customWidth="1"/>
    <col min="587" max="587" width="13.6640625" bestFit="1" customWidth="1"/>
    <col min="588" max="588" width="15.1640625" bestFit="1" customWidth="1"/>
    <col min="589" max="589" width="18.83203125" bestFit="1" customWidth="1"/>
    <col min="590" max="590" width="11.33203125" bestFit="1" customWidth="1"/>
    <col min="591" max="591" width="15.1640625" bestFit="1" customWidth="1"/>
    <col min="592" max="592" width="11.6640625" bestFit="1" customWidth="1"/>
    <col min="593" max="593" width="15.33203125" bestFit="1" customWidth="1"/>
    <col min="594" max="594" width="11.6640625" bestFit="1" customWidth="1"/>
    <col min="595" max="595" width="6.6640625" customWidth="1"/>
    <col min="596" max="596" width="9.83203125" customWidth="1"/>
    <col min="597" max="597" width="14.1640625" bestFit="1" customWidth="1"/>
    <col min="598" max="598" width="11.1640625" bestFit="1" customWidth="1"/>
    <col min="599" max="599" width="14.83203125" bestFit="1" customWidth="1"/>
    <col min="600" max="600" width="8.1640625" customWidth="1"/>
    <col min="601" max="601" width="12" bestFit="1" customWidth="1"/>
    <col min="602" max="602" width="10" customWidth="1"/>
    <col min="603" max="603" width="13.6640625" bestFit="1" customWidth="1"/>
    <col min="604" max="604" width="15.1640625" bestFit="1" customWidth="1"/>
    <col min="605" max="605" width="18.83203125" bestFit="1" customWidth="1"/>
    <col min="607" max="607" width="14.6640625" bestFit="1" customWidth="1"/>
    <col min="608" max="608" width="14.1640625" bestFit="1" customWidth="1"/>
    <col min="609" max="609" width="17.83203125" bestFit="1" customWidth="1"/>
    <col min="610" max="610" width="9.83203125" customWidth="1"/>
    <col min="611" max="611" width="12.6640625" bestFit="1" customWidth="1"/>
    <col min="612" max="612" width="7.5" customWidth="1"/>
    <col min="613" max="613" width="11.1640625" bestFit="1" customWidth="1"/>
    <col min="614" max="614" width="8.6640625" customWidth="1"/>
    <col min="615" max="615" width="10.6640625" customWidth="1"/>
    <col min="616" max="616" width="10" customWidth="1"/>
    <col min="617" max="617" width="13.6640625" bestFit="1" customWidth="1"/>
    <col min="618" max="618" width="11.33203125" bestFit="1" customWidth="1"/>
    <col min="619" max="619" width="15.1640625" bestFit="1" customWidth="1"/>
    <col min="620" max="620" width="19.1640625" bestFit="1" customWidth="1"/>
    <col min="622" max="622" width="12.83203125" bestFit="1" customWidth="1"/>
    <col min="623" max="623" width="12" bestFit="1" customWidth="1"/>
    <col min="624" max="624" width="12.6640625" bestFit="1" customWidth="1"/>
    <col min="625" max="625" width="9.1640625" customWidth="1"/>
    <col min="626" max="626" width="21.33203125" bestFit="1" customWidth="1"/>
    <col min="627" max="627" width="25.33203125" bestFit="1" customWidth="1"/>
    <col min="628" max="628" width="11.1640625" bestFit="1" customWidth="1"/>
    <col min="629" max="629" width="14.83203125" bestFit="1" customWidth="1"/>
    <col min="630" max="630" width="11.33203125" bestFit="1" customWidth="1"/>
    <col min="631" max="631" width="13.6640625" bestFit="1" customWidth="1"/>
    <col min="632" max="632" width="10.33203125" customWidth="1"/>
    <col min="633" max="633" width="8.1640625" customWidth="1"/>
    <col min="634" max="634" width="9.1640625" customWidth="1"/>
    <col min="635" max="635" width="13.1640625" bestFit="1" customWidth="1"/>
    <col min="636" max="636" width="17" bestFit="1" customWidth="1"/>
    <col min="637" max="637" width="14.6640625" bestFit="1" customWidth="1"/>
    <col min="638" max="638" width="18" bestFit="1" customWidth="1"/>
    <col min="639" max="639" width="13.1640625" bestFit="1" customWidth="1"/>
    <col min="640" max="640" width="17" bestFit="1" customWidth="1"/>
    <col min="641" max="641" width="13.1640625" bestFit="1" customWidth="1"/>
    <col min="642" max="642" width="17" bestFit="1" customWidth="1"/>
    <col min="643" max="643" width="13.1640625" bestFit="1" customWidth="1"/>
    <col min="644" max="644" width="17" bestFit="1" customWidth="1"/>
    <col min="645" max="645" width="14.33203125" bestFit="1" customWidth="1"/>
    <col min="646" max="646" width="6" customWidth="1"/>
    <col min="647" max="647" width="18" bestFit="1" customWidth="1"/>
    <col min="648" max="648" width="13.5" bestFit="1" customWidth="1"/>
    <col min="649" max="649" width="17.1640625" bestFit="1" customWidth="1"/>
    <col min="650" max="650" width="21" bestFit="1" customWidth="1"/>
    <col min="651" max="651" width="24.83203125" bestFit="1" customWidth="1"/>
    <col min="652" max="652" width="14.1640625" bestFit="1" customWidth="1"/>
    <col min="653" max="653" width="14.6640625" bestFit="1" customWidth="1"/>
    <col min="654" max="654" width="10.6640625" customWidth="1"/>
    <col min="655" max="655" width="14.1640625" bestFit="1" customWidth="1"/>
    <col min="656" max="656" width="13.1640625" bestFit="1" customWidth="1"/>
    <col min="657" max="657" width="16.6640625" bestFit="1" customWidth="1"/>
    <col min="658" max="658" width="8.83203125" customWidth="1"/>
    <col min="659" max="659" width="12.6640625" bestFit="1" customWidth="1"/>
    <col min="660" max="660" width="10" customWidth="1"/>
    <col min="661" max="661" width="13.6640625" bestFit="1" customWidth="1"/>
    <col min="662" max="662" width="11.83203125" bestFit="1" customWidth="1"/>
    <col min="663" max="663" width="15.5" bestFit="1" customWidth="1"/>
    <col min="664" max="664" width="12" bestFit="1" customWidth="1"/>
    <col min="665" max="665" width="15.6640625" bestFit="1" customWidth="1"/>
    <col min="666" max="666" width="11.33203125" bestFit="1" customWidth="1"/>
    <col min="667" max="667" width="10.5" customWidth="1"/>
    <col min="668" max="668" width="15.1640625" bestFit="1" customWidth="1"/>
    <col min="669" max="669" width="11.33203125" bestFit="1" customWidth="1"/>
    <col min="670" max="670" width="15.1640625" bestFit="1" customWidth="1"/>
    <col min="671" max="671" width="12.83203125" bestFit="1" customWidth="1"/>
    <col min="672" max="672" width="16.6640625" bestFit="1" customWidth="1"/>
    <col min="673" max="674" width="12.33203125" bestFit="1" customWidth="1"/>
    <col min="675" max="675" width="11.1640625" bestFit="1" customWidth="1"/>
    <col min="676" max="676" width="14.83203125" bestFit="1" customWidth="1"/>
    <col min="677" max="677" width="11.83203125" bestFit="1" customWidth="1"/>
    <col min="678" max="678" width="15.5" bestFit="1" customWidth="1"/>
    <col min="679" max="679" width="11.33203125" bestFit="1" customWidth="1"/>
    <col min="680" max="680" width="14.1640625" bestFit="1" customWidth="1"/>
    <col min="681" max="681" width="14.6640625" bestFit="1" customWidth="1"/>
    <col min="682" max="682" width="16" bestFit="1" customWidth="1"/>
    <col min="683" max="683" width="10.1640625" customWidth="1"/>
    <col min="684" max="684" width="13.83203125" bestFit="1" customWidth="1"/>
    <col min="685" max="685" width="12.6640625" bestFit="1" customWidth="1"/>
    <col min="686" max="686" width="16.33203125" bestFit="1" customWidth="1"/>
    <col min="687" max="687" width="12" bestFit="1" customWidth="1"/>
    <col min="688" max="688" width="15.6640625" bestFit="1" customWidth="1"/>
    <col min="689" max="689" width="12.6640625" bestFit="1" customWidth="1"/>
    <col min="690" max="690" width="16.33203125" bestFit="1" customWidth="1"/>
    <col min="691" max="691" width="11.1640625" bestFit="1" customWidth="1"/>
    <col min="692" max="692" width="14.83203125" bestFit="1" customWidth="1"/>
    <col min="693" max="693" width="11.1640625" bestFit="1" customWidth="1"/>
    <col min="694" max="694" width="10.5" customWidth="1"/>
    <col min="695" max="695" width="14.83203125" bestFit="1" customWidth="1"/>
    <col min="696" max="696" width="12.1640625" bestFit="1" customWidth="1"/>
    <col min="697" max="697" width="16" bestFit="1" customWidth="1"/>
    <col min="698" max="698" width="12.6640625" bestFit="1" customWidth="1"/>
    <col min="699" max="699" width="12.83203125" bestFit="1" customWidth="1"/>
    <col min="700" max="700" width="17.6640625" bestFit="1" customWidth="1"/>
    <col min="701" max="701" width="21.6640625" bestFit="1" customWidth="1"/>
    <col min="702" max="702" width="13.5" bestFit="1" customWidth="1"/>
    <col min="703" max="703" width="17.1640625" bestFit="1" customWidth="1"/>
    <col min="704" max="704" width="10.33203125" customWidth="1"/>
    <col min="705" max="705" width="14.1640625" bestFit="1" customWidth="1"/>
    <col min="706" max="706" width="11.83203125" bestFit="1" customWidth="1"/>
    <col min="707" max="707" width="15.5" bestFit="1" customWidth="1"/>
    <col min="708" max="708" width="11.83203125" bestFit="1" customWidth="1"/>
    <col min="709" max="709" width="15.5" bestFit="1" customWidth="1"/>
    <col min="710" max="710" width="13.6640625" bestFit="1" customWidth="1"/>
    <col min="711" max="711" width="12" bestFit="1" customWidth="1"/>
    <col min="712" max="712" width="17.33203125" bestFit="1" customWidth="1"/>
    <col min="713" max="713" width="13.83203125" bestFit="1" customWidth="1"/>
    <col min="714" max="714" width="13.1640625" bestFit="1" customWidth="1"/>
    <col min="715" max="715" width="15.1640625" bestFit="1" customWidth="1"/>
    <col min="716" max="716" width="7" customWidth="1"/>
    <col min="717" max="717" width="18.83203125" bestFit="1" customWidth="1"/>
    <col min="718" max="718" width="18.1640625" bestFit="1" customWidth="1"/>
    <col min="719" max="719" width="12.33203125" bestFit="1" customWidth="1"/>
    <col min="720" max="720" width="22" bestFit="1" customWidth="1"/>
    <col min="721" max="721" width="11.6640625" bestFit="1" customWidth="1"/>
    <col min="722" max="722" width="15.33203125" bestFit="1" customWidth="1"/>
    <col min="723" max="723" width="13.1640625" bestFit="1" customWidth="1"/>
    <col min="724" max="724" width="17" bestFit="1" customWidth="1"/>
    <col min="725" max="725" width="10.1640625" customWidth="1"/>
    <col min="726" max="726" width="12.33203125" bestFit="1" customWidth="1"/>
    <col min="727" max="727" width="10.6640625" customWidth="1"/>
    <col min="728" max="728" width="14.1640625" bestFit="1" customWidth="1"/>
    <col min="729" max="729" width="11.33203125" bestFit="1" customWidth="1"/>
    <col min="730" max="730" width="13.6640625" bestFit="1" customWidth="1"/>
    <col min="731" max="731" width="9.1640625" customWidth="1"/>
    <col min="732" max="732" width="11.33203125" bestFit="1" customWidth="1"/>
    <col min="733" max="733" width="11.6640625" bestFit="1" customWidth="1"/>
    <col min="734" max="734" width="15.33203125" bestFit="1" customWidth="1"/>
    <col min="735" max="735" width="15.1640625" bestFit="1" customWidth="1"/>
    <col min="736" max="736" width="18.83203125" bestFit="1" customWidth="1"/>
    <col min="737" max="737" width="16.1640625" bestFit="1" customWidth="1"/>
    <col min="738" max="738" width="12.1640625" bestFit="1" customWidth="1"/>
    <col min="739" max="739" width="13.5" bestFit="1" customWidth="1"/>
    <col min="740" max="740" width="17.1640625" bestFit="1" customWidth="1"/>
    <col min="741" max="741" width="17.6640625" bestFit="1" customWidth="1"/>
    <col min="742" max="742" width="21.6640625" bestFit="1" customWidth="1"/>
    <col min="743" max="743" width="12.1640625" bestFit="1" customWidth="1"/>
    <col min="744" max="744" width="10.33203125" customWidth="1"/>
    <col min="745" max="745" width="16" bestFit="1" customWidth="1"/>
    <col min="746" max="746" width="10.6640625" customWidth="1"/>
    <col min="747" max="747" width="14.1640625" bestFit="1" customWidth="1"/>
    <col min="748" max="748" width="8.6640625" customWidth="1"/>
    <col min="749" max="749" width="11.6640625" bestFit="1" customWidth="1"/>
    <col min="750" max="750" width="12.33203125" bestFit="1" customWidth="1"/>
    <col min="751" max="751" width="11.33203125" bestFit="1" customWidth="1"/>
    <col min="752" max="752" width="12.6640625" bestFit="1" customWidth="1"/>
    <col min="753" max="753" width="9.6640625" customWidth="1"/>
    <col min="754" max="754" width="13.5" bestFit="1" customWidth="1"/>
    <col min="755" max="755" width="13.1640625" bestFit="1" customWidth="1"/>
    <col min="756" max="756" width="17" bestFit="1" customWidth="1"/>
    <col min="757" max="757" width="10.33203125" customWidth="1"/>
    <col min="758" max="758" width="14.1640625" bestFit="1" customWidth="1"/>
    <col min="759" max="759" width="11.33203125" bestFit="1" customWidth="1"/>
    <col min="760" max="760" width="8.6640625" customWidth="1"/>
    <col min="761" max="761" width="15.1640625" bestFit="1" customWidth="1"/>
    <col min="762" max="762" width="13.83203125" bestFit="1" customWidth="1"/>
    <col min="763" max="763" width="17" bestFit="1" customWidth="1"/>
    <col min="764" max="764" width="10.6640625" customWidth="1"/>
    <col min="765" max="765" width="14.5" bestFit="1" customWidth="1"/>
    <col min="766" max="766" width="12" bestFit="1" customWidth="1"/>
    <col min="767" max="767" width="13.6640625" bestFit="1" customWidth="1"/>
    <col min="768" max="768" width="11.33203125" bestFit="1" customWidth="1"/>
    <col min="769" max="769" width="13.6640625" bestFit="1" customWidth="1"/>
    <col min="770" max="770" width="18.5" bestFit="1" customWidth="1"/>
    <col min="771" max="771" width="22.33203125" bestFit="1" customWidth="1"/>
    <col min="772" max="772" width="17.5" bestFit="1" customWidth="1"/>
    <col min="773" max="773" width="21.33203125" bestFit="1" customWidth="1"/>
    <col min="774" max="774" width="13.1640625" bestFit="1" customWidth="1"/>
    <col min="775" max="775" width="16.1640625" bestFit="1" customWidth="1"/>
    <col min="776" max="776" width="14.1640625" bestFit="1" customWidth="1"/>
    <col min="777" max="777" width="17.83203125" bestFit="1" customWidth="1"/>
    <col min="778" max="778" width="12.83203125" bestFit="1" customWidth="1"/>
    <col min="779" max="779" width="16.33203125" bestFit="1" customWidth="1"/>
    <col min="780" max="780" width="14.1640625" bestFit="1" customWidth="1"/>
    <col min="781" max="781" width="11.1640625" bestFit="1" customWidth="1"/>
    <col min="782" max="782" width="17.33203125" bestFit="1" customWidth="1"/>
    <col min="783" max="783" width="11.6640625" bestFit="1" customWidth="1"/>
    <col min="784" max="784" width="15.33203125" bestFit="1" customWidth="1"/>
    <col min="785" max="785" width="19.6640625" bestFit="1" customWidth="1"/>
    <col min="786" max="786" width="23.6640625" bestFit="1" customWidth="1"/>
    <col min="787" max="787" width="18.1640625" bestFit="1" customWidth="1"/>
    <col min="788" max="788" width="17.6640625" bestFit="1" customWidth="1"/>
    <col min="789" max="789" width="13.5" bestFit="1" customWidth="1"/>
    <col min="790" max="790" width="11.6640625" bestFit="1" customWidth="1"/>
    <col min="791" max="791" width="17.1640625" bestFit="1" customWidth="1"/>
    <col min="792" max="792" width="9.5" customWidth="1"/>
    <col min="793" max="793" width="12.1640625" bestFit="1" customWidth="1"/>
    <col min="794" max="794" width="14.6640625" bestFit="1" customWidth="1"/>
    <col min="795" max="795" width="15.1640625" bestFit="1" customWidth="1"/>
    <col min="796" max="796" width="10.1640625" customWidth="1"/>
    <col min="797" max="797" width="12.33203125" bestFit="1" customWidth="1"/>
    <col min="798" max="798" width="21.33203125" bestFit="1" customWidth="1"/>
    <col min="799" max="799" width="25.33203125" bestFit="1" customWidth="1"/>
    <col min="800" max="800" width="10.6640625" customWidth="1"/>
    <col min="801" max="801" width="14.5" bestFit="1" customWidth="1"/>
    <col min="802" max="802" width="11.6640625" bestFit="1" customWidth="1"/>
    <col min="803" max="803" width="11.1640625" bestFit="1" customWidth="1"/>
    <col min="804" max="804" width="11.83203125" bestFit="1" customWidth="1"/>
    <col min="805" max="805" width="15.5" bestFit="1" customWidth="1"/>
    <col min="806" max="806" width="10.6640625" customWidth="1"/>
    <col min="807" max="807" width="14.1640625" bestFit="1" customWidth="1"/>
    <col min="808" max="808" width="9.83203125" customWidth="1"/>
    <col min="809" max="809" width="12.83203125" bestFit="1" customWidth="1"/>
    <col min="810" max="810" width="12.6640625" bestFit="1" customWidth="1"/>
    <col min="811" max="811" width="13.83203125" bestFit="1" customWidth="1"/>
    <col min="812" max="812" width="13.1640625" bestFit="1" customWidth="1"/>
    <col min="813" max="813" width="17" bestFit="1" customWidth="1"/>
    <col min="815" max="815" width="14.6640625" bestFit="1" customWidth="1"/>
    <col min="816" max="816" width="13.6640625" bestFit="1" customWidth="1"/>
    <col min="817" max="817" width="17.33203125" bestFit="1" customWidth="1"/>
    <col min="818" max="818" width="15.1640625" bestFit="1" customWidth="1"/>
    <col min="819" max="819" width="18.83203125" bestFit="1" customWidth="1"/>
    <col min="820" max="820" width="12.83203125" bestFit="1" customWidth="1"/>
    <col min="821" max="821" width="10.5" customWidth="1"/>
    <col min="822" max="822" width="15.6640625" bestFit="1" customWidth="1"/>
    <col min="823" max="823" width="13.83203125" bestFit="1" customWidth="1"/>
    <col min="824" max="824" width="15.1640625" bestFit="1" customWidth="1"/>
    <col min="826" max="826" width="14.6640625" bestFit="1" customWidth="1"/>
    <col min="827" max="827" width="13.6640625" bestFit="1" customWidth="1"/>
    <col min="828" max="828" width="17.33203125" bestFit="1" customWidth="1"/>
    <col min="829" max="829" width="10.1640625" customWidth="1"/>
    <col min="830" max="830" width="13.83203125" bestFit="1" customWidth="1"/>
    <col min="831" max="831" width="10.6640625" customWidth="1"/>
    <col min="832" max="832" width="15.33203125" bestFit="1" customWidth="1"/>
    <col min="833" max="833" width="13.83203125" bestFit="1" customWidth="1"/>
    <col min="834" max="834" width="8.5" customWidth="1"/>
    <col min="835" max="835" width="5.6640625" customWidth="1"/>
    <col min="836" max="836" width="11.6640625" bestFit="1" customWidth="1"/>
    <col min="837" max="837" width="12.6640625" bestFit="1" customWidth="1"/>
    <col min="838" max="838" width="16.33203125" bestFit="1" customWidth="1"/>
    <col min="839" max="839" width="13.1640625" bestFit="1" customWidth="1"/>
    <col min="840" max="840" width="17" bestFit="1" customWidth="1"/>
    <col min="841" max="841" width="19.1640625" bestFit="1" customWidth="1"/>
    <col min="842" max="842" width="23" bestFit="1" customWidth="1"/>
    <col min="843" max="843" width="12" bestFit="1" customWidth="1"/>
    <col min="844" max="844" width="15.1640625" bestFit="1" customWidth="1"/>
    <col min="845" max="845" width="12.83203125" bestFit="1" customWidth="1"/>
    <col min="846" max="846" width="11.33203125" bestFit="1" customWidth="1"/>
    <col min="847" max="847" width="10.5" customWidth="1"/>
    <col min="848" max="848" width="16.6640625" bestFit="1" customWidth="1"/>
    <col min="849" max="849" width="14.5" bestFit="1" customWidth="1"/>
    <col min="850" max="850" width="18.1640625" bestFit="1" customWidth="1"/>
    <col min="851" max="851" width="13.1640625" bestFit="1" customWidth="1"/>
    <col min="852" max="852" width="17" bestFit="1" customWidth="1"/>
    <col min="853" max="853" width="11.83203125" bestFit="1" customWidth="1"/>
    <col min="854" max="854" width="15.5" bestFit="1" customWidth="1"/>
    <col min="855" max="855" width="11.33203125" bestFit="1" customWidth="1"/>
    <col min="856" max="856" width="12.33203125" bestFit="1" customWidth="1"/>
    <col min="857" max="857" width="11.33203125" bestFit="1" customWidth="1"/>
    <col min="858" max="858" width="15.1640625" bestFit="1" customWidth="1"/>
    <col min="859" max="859" width="11.33203125" bestFit="1" customWidth="1"/>
    <col min="860" max="860" width="15.1640625" bestFit="1" customWidth="1"/>
    <col min="862" max="862" width="14.6640625" bestFit="1" customWidth="1"/>
    <col min="863" max="863" width="8.6640625" customWidth="1"/>
    <col min="864" max="864" width="12.33203125" bestFit="1" customWidth="1"/>
    <col min="865" max="865" width="11.83203125" bestFit="1" customWidth="1"/>
    <col min="866" max="866" width="15.5" bestFit="1" customWidth="1"/>
    <col min="867" max="867" width="11.83203125" bestFit="1" customWidth="1"/>
    <col min="868" max="868" width="15.5" bestFit="1" customWidth="1"/>
    <col min="869" max="869" width="11.1640625" bestFit="1" customWidth="1"/>
    <col min="870" max="870" width="11.6640625" bestFit="1" customWidth="1"/>
    <col min="871" max="871" width="8.83203125" customWidth="1"/>
    <col min="872" max="872" width="12.6640625" bestFit="1" customWidth="1"/>
    <col min="873" max="873" width="15.1640625" bestFit="1" customWidth="1"/>
    <col min="874" max="874" width="18.83203125" bestFit="1" customWidth="1"/>
    <col min="875" max="875" width="27.83203125" bestFit="1" customWidth="1"/>
    <col min="876" max="876" width="31.6640625" bestFit="1" customWidth="1"/>
    <col min="877" max="877" width="10.33203125" customWidth="1"/>
    <col min="878" max="878" width="14.1640625" bestFit="1" customWidth="1"/>
    <col min="879" max="879" width="12" bestFit="1" customWidth="1"/>
    <col min="880" max="880" width="15.6640625" bestFit="1" customWidth="1"/>
    <col min="881" max="881" width="13.1640625" bestFit="1" customWidth="1"/>
    <col min="882" max="882" width="16.6640625" bestFit="1" customWidth="1"/>
    <col min="883" max="883" width="11.6640625" bestFit="1" customWidth="1"/>
    <col min="884" max="884" width="15.33203125" bestFit="1" customWidth="1"/>
    <col min="885" max="885" width="16.1640625" bestFit="1" customWidth="1"/>
    <col min="886" max="886" width="19.83203125" bestFit="1" customWidth="1"/>
    <col min="887" max="887" width="14.5" bestFit="1" customWidth="1"/>
    <col min="888" max="888" width="18.1640625" bestFit="1" customWidth="1"/>
    <col min="889" max="889" width="17.33203125" bestFit="1" customWidth="1"/>
    <col min="890" max="890" width="18.6640625" bestFit="1" customWidth="1"/>
    <col min="891" max="891" width="18.1640625" bestFit="1" customWidth="1"/>
    <col min="892" max="892" width="12.6640625" bestFit="1" customWidth="1"/>
    <col min="893" max="893" width="13.6640625" bestFit="1" customWidth="1"/>
    <col min="894" max="894" width="17.33203125" bestFit="1" customWidth="1"/>
    <col min="895" max="895" width="18.5" bestFit="1" customWidth="1"/>
    <col min="896" max="896" width="22.33203125" bestFit="1" customWidth="1"/>
    <col min="897" max="897" width="11.83203125" bestFit="1" customWidth="1"/>
    <col min="898" max="898" width="15.5" bestFit="1" customWidth="1"/>
    <col min="899" max="899" width="11.6640625" bestFit="1" customWidth="1"/>
    <col min="900" max="900" width="15.33203125" bestFit="1" customWidth="1"/>
    <col min="901" max="901" width="12.83203125" bestFit="1" customWidth="1"/>
    <col min="902" max="902" width="16.6640625" bestFit="1" customWidth="1"/>
    <col min="903" max="903" width="12.33203125" bestFit="1" customWidth="1"/>
    <col min="904" max="904" width="15.5" bestFit="1" customWidth="1"/>
    <col min="905" max="905" width="11.83203125" bestFit="1" customWidth="1"/>
    <col min="906" max="906" width="15.5" bestFit="1" customWidth="1"/>
    <col min="907" max="907" width="14.6640625" bestFit="1" customWidth="1"/>
    <col min="908" max="908" width="8.83203125" customWidth="1"/>
    <col min="909" max="909" width="16.6640625" bestFit="1" customWidth="1"/>
    <col min="910" max="910" width="18.6640625" bestFit="1" customWidth="1"/>
    <col min="911" max="911" width="22.6640625" bestFit="1" customWidth="1"/>
    <col min="912" max="912" width="12.5" bestFit="1" customWidth="1"/>
    <col min="913" max="913" width="16.1640625" bestFit="1" customWidth="1"/>
    <col min="914" max="914" width="13.1640625" bestFit="1" customWidth="1"/>
    <col min="915" max="915" width="16.6640625" bestFit="1" customWidth="1"/>
    <col min="916" max="916" width="11.1640625" bestFit="1" customWidth="1"/>
    <col min="917" max="917" width="6" customWidth="1"/>
    <col min="918" max="918" width="14.83203125" bestFit="1" customWidth="1"/>
    <col min="919" max="919" width="13.83203125" bestFit="1" customWidth="1"/>
    <col min="920" max="920" width="17.6640625" bestFit="1" customWidth="1"/>
    <col min="921" max="921" width="10.6640625" customWidth="1"/>
    <col min="922" max="922" width="13.5" bestFit="1" customWidth="1"/>
    <col min="923" max="923" width="9.5" customWidth="1"/>
    <col min="924" max="924" width="13.1640625" bestFit="1" customWidth="1"/>
    <col min="925" max="925" width="17.5" bestFit="1" customWidth="1"/>
    <col min="926" max="926" width="21.33203125" bestFit="1" customWidth="1"/>
    <col min="927" max="927" width="10.5" customWidth="1"/>
    <col min="928" max="928" width="9.6640625" customWidth="1"/>
    <col min="929" max="929" width="14.6640625" bestFit="1" customWidth="1"/>
    <col min="930" max="930" width="18.5" bestFit="1" customWidth="1"/>
    <col min="931" max="931" width="21.83203125" bestFit="1" customWidth="1"/>
    <col min="932" max="932" width="25.5" bestFit="1" customWidth="1"/>
    <col min="933" max="933" width="13.6640625" bestFit="1" customWidth="1"/>
    <col min="934" max="934" width="17.33203125" bestFit="1" customWidth="1"/>
    <col min="935" max="935" width="16.83203125" bestFit="1" customWidth="1"/>
    <col min="936" max="936" width="20.6640625" bestFit="1" customWidth="1"/>
    <col min="937" max="937" width="11.1640625" bestFit="1" customWidth="1"/>
    <col min="938" max="938" width="14.83203125" bestFit="1" customWidth="1"/>
    <col min="939" max="939" width="10.1640625" customWidth="1"/>
    <col min="940" max="940" width="12" bestFit="1" customWidth="1"/>
    <col min="941" max="941" width="11.6640625" bestFit="1" customWidth="1"/>
    <col min="942" max="942" width="5.6640625" customWidth="1"/>
    <col min="943" max="943" width="15.33203125" bestFit="1" customWidth="1"/>
    <col min="944" max="944" width="11.6640625" bestFit="1" customWidth="1"/>
    <col min="945" max="945" width="6" customWidth="1"/>
    <col min="946" max="946" width="15.1640625" bestFit="1" customWidth="1"/>
    <col min="947" max="947" width="10" customWidth="1"/>
    <col min="948" max="948" width="13.6640625" bestFit="1" customWidth="1"/>
    <col min="949" max="949" width="12.6640625" bestFit="1" customWidth="1"/>
    <col min="950" max="950" width="16.33203125" bestFit="1" customWidth="1"/>
    <col min="951" max="951" width="13.1640625" bestFit="1" customWidth="1"/>
    <col min="952" max="952" width="16.6640625" bestFit="1" customWidth="1"/>
    <col min="953" max="953" width="13.1640625" bestFit="1" customWidth="1"/>
    <col min="954" max="954" width="16.6640625" bestFit="1" customWidth="1"/>
    <col min="955" max="955" width="11.6640625" bestFit="1" customWidth="1"/>
    <col min="956" max="956" width="15.33203125" bestFit="1" customWidth="1"/>
    <col min="957" max="957" width="11.1640625" bestFit="1" customWidth="1"/>
    <col min="958" max="958" width="14.83203125" bestFit="1" customWidth="1"/>
    <col min="959" max="959" width="10.1640625" customWidth="1"/>
    <col min="960" max="960" width="13.83203125" bestFit="1" customWidth="1"/>
    <col min="961" max="961" width="13.1640625" bestFit="1" customWidth="1"/>
    <col min="962" max="962" width="16.6640625" bestFit="1" customWidth="1"/>
    <col min="963" max="963" width="10.6640625" customWidth="1"/>
    <col min="964" max="964" width="13.6640625" bestFit="1" customWidth="1"/>
    <col min="965" max="965" width="15.33203125" bestFit="1" customWidth="1"/>
    <col min="966" max="966" width="14.1640625" bestFit="1" customWidth="1"/>
    <col min="967" max="967" width="17.33203125" bestFit="1" customWidth="1"/>
    <col min="968" max="968" width="13.5" bestFit="1" customWidth="1"/>
    <col min="969" max="969" width="17.1640625" bestFit="1" customWidth="1"/>
    <col min="970" max="970" width="12.83203125" bestFit="1" customWidth="1"/>
    <col min="971" max="971" width="10.33203125" customWidth="1"/>
    <col min="972" max="972" width="16.6640625" bestFit="1" customWidth="1"/>
    <col min="973" max="973" width="10.1640625" customWidth="1"/>
    <col min="974" max="974" width="13.83203125" bestFit="1" customWidth="1"/>
    <col min="975" max="975" width="11.6640625" bestFit="1" customWidth="1"/>
    <col min="976" max="976" width="15.33203125" bestFit="1" customWidth="1"/>
    <col min="977" max="977" width="10.5" customWidth="1"/>
    <col min="978" max="978" width="12.6640625" bestFit="1" customWidth="1"/>
    <col min="979" max="979" width="14.33203125" bestFit="1" customWidth="1"/>
    <col min="980" max="980" width="18" bestFit="1" customWidth="1"/>
    <col min="981" max="981" width="12" bestFit="1" customWidth="1"/>
    <col min="982" max="982" width="8.83203125" customWidth="1"/>
    <col min="983" max="983" width="15.6640625" bestFit="1" customWidth="1"/>
    <col min="984" max="984" width="11.6640625" bestFit="1" customWidth="1"/>
    <col min="985" max="985" width="12.6640625" bestFit="1" customWidth="1"/>
    <col min="986" max="986" width="14.5" bestFit="1" customWidth="1"/>
    <col min="987" max="987" width="12" bestFit="1" customWidth="1"/>
    <col min="988" max="988" width="6.1640625" customWidth="1"/>
    <col min="989" max="989" width="18.1640625" bestFit="1" customWidth="1"/>
    <col min="990" max="990" width="14.6640625" bestFit="1" customWidth="1"/>
    <col min="991" max="991" width="5.5" customWidth="1"/>
    <col min="992" max="992" width="18.5" bestFit="1" customWidth="1"/>
    <col min="993" max="993" width="19.5" bestFit="1" customWidth="1"/>
    <col min="994" max="994" width="23.5" bestFit="1" customWidth="1"/>
    <col min="995" max="995" width="12.83203125" bestFit="1" customWidth="1"/>
    <col min="996" max="996" width="16.6640625" bestFit="1" customWidth="1"/>
    <col min="997" max="997" width="15.33203125" bestFit="1" customWidth="1"/>
    <col min="998" max="998" width="10.1640625" customWidth="1"/>
    <col min="999" max="999" width="19.1640625" bestFit="1" customWidth="1"/>
    <col min="1000" max="1000" width="12.1640625" bestFit="1" customWidth="1"/>
    <col min="1001" max="1001" width="16" bestFit="1" customWidth="1"/>
    <col min="1002" max="1002" width="12.6640625" bestFit="1" customWidth="1"/>
    <col min="1003" max="1003" width="16.33203125" bestFit="1" customWidth="1"/>
    <col min="1004" max="1004" width="12" bestFit="1" customWidth="1"/>
    <col min="1005" max="1005" width="12.1640625" bestFit="1" customWidth="1"/>
    <col min="1006" max="1006" width="10.33203125" customWidth="1"/>
    <col min="1007" max="1007" width="13" bestFit="1" customWidth="1"/>
    <col min="1008" max="1008" width="14.1640625" bestFit="1" customWidth="1"/>
    <col min="1009" max="1009" width="7.5" customWidth="1"/>
    <col min="1010" max="1010" width="11.1640625" bestFit="1" customWidth="1"/>
    <col min="1011" max="1011" width="12.83203125" bestFit="1" customWidth="1"/>
    <col min="1012" max="1012" width="16.6640625" bestFit="1" customWidth="1"/>
    <col min="1013" max="1013" width="12.83203125" bestFit="1" customWidth="1"/>
    <col min="1014" max="1014" width="16.6640625" bestFit="1" customWidth="1"/>
    <col min="1015" max="1015" width="11.33203125" bestFit="1" customWidth="1"/>
    <col min="1016" max="1016" width="13.5" bestFit="1" customWidth="1"/>
    <col min="1017" max="1017" width="16" bestFit="1" customWidth="1"/>
    <col min="1018" max="1018" width="19.6640625" bestFit="1" customWidth="1"/>
    <col min="1019" max="1019" width="13.83203125" bestFit="1" customWidth="1"/>
    <col min="1020" max="1020" width="17.6640625" bestFit="1" customWidth="1"/>
    <col min="1021" max="1021" width="31.6640625" bestFit="1" customWidth="1"/>
    <col min="1022" max="1022" width="35.5" bestFit="1" customWidth="1"/>
    <col min="1023" max="1023" width="11.33203125" bestFit="1" customWidth="1"/>
    <col min="1024" max="1024" width="15.1640625" bestFit="1" customWidth="1"/>
    <col min="1025" max="1025" width="14.5" bestFit="1" customWidth="1"/>
    <col min="1026" max="1026" width="18.1640625" bestFit="1" customWidth="1"/>
    <col min="1027" max="1027" width="14.1640625" bestFit="1" customWidth="1"/>
    <col min="1028" max="1028" width="17.83203125" bestFit="1" customWidth="1"/>
    <col min="1029" max="1029" width="9.6640625" customWidth="1"/>
    <col min="1030" max="1030" width="12.83203125" bestFit="1" customWidth="1"/>
    <col min="1031" max="1031" width="12" bestFit="1" customWidth="1"/>
    <col min="1032" max="1032" width="15.6640625" bestFit="1" customWidth="1"/>
    <col min="1033" max="1033" width="10.6640625" customWidth="1"/>
    <col min="1034" max="1034" width="14.5" bestFit="1" customWidth="1"/>
    <col min="1035" max="1035" width="13.83203125" bestFit="1" customWidth="1"/>
    <col min="1036" max="1036" width="15.33203125" bestFit="1" customWidth="1"/>
    <col min="1037" max="1037" width="12.6640625" bestFit="1" customWidth="1"/>
    <col min="1038" max="1038" width="16.33203125" bestFit="1" customWidth="1"/>
    <col min="1039" max="1039" width="19.1640625" bestFit="1" customWidth="1"/>
    <col min="1040" max="1040" width="23" bestFit="1" customWidth="1"/>
    <col min="1041" max="1041" width="12" bestFit="1" customWidth="1"/>
    <col min="1042" max="1042" width="10.1640625" customWidth="1"/>
    <col min="1043" max="1043" width="15.6640625" bestFit="1" customWidth="1"/>
    <col min="1044" max="1044" width="14.1640625" bestFit="1" customWidth="1"/>
    <col min="1045" max="1045" width="17.83203125" bestFit="1" customWidth="1"/>
    <col min="1046" max="1046" width="13.83203125" bestFit="1" customWidth="1"/>
    <col min="1047" max="1047" width="17.6640625" bestFit="1" customWidth="1"/>
    <col min="1048" max="1048" width="10.33203125" customWidth="1"/>
    <col min="1049" max="1049" width="14.1640625" bestFit="1" customWidth="1"/>
    <col min="1050" max="1050" width="10.5" customWidth="1"/>
    <col min="1051" max="1051" width="12.33203125" bestFit="1" customWidth="1"/>
    <col min="1052" max="1052" width="10.1640625" customWidth="1"/>
    <col min="1053" max="1053" width="13.5" bestFit="1" customWidth="1"/>
    <col min="1054" max="1055" width="13.83203125" bestFit="1" customWidth="1"/>
  </cols>
  <sheetData>
    <row r="1" spans="1:98" s="115" customFormat="1" ht="21" customHeight="1" x14ac:dyDescent="0.3">
      <c r="A1" s="114" t="s">
        <v>1659</v>
      </c>
      <c r="P1" s="116"/>
      <c r="AE1" s="78"/>
      <c r="AG1"/>
      <c r="AV1" s="40"/>
      <c r="AW1" s="40"/>
      <c r="AX1" s="40"/>
      <c r="CA1" s="287" t="s">
        <v>1032</v>
      </c>
      <c r="CB1" t="s">
        <v>1052</v>
      </c>
      <c r="CC1">
        <f>R3</f>
        <v>0</v>
      </c>
      <c r="CD1" s="288" t="str">
        <f>+D2</f>
        <v/>
      </c>
      <c r="CE1" s="288" t="str">
        <f>IF(ISBLANK(D3),D2,D3)</f>
        <v/>
      </c>
      <c r="CF1">
        <f>I3</f>
        <v>0</v>
      </c>
      <c r="CG1">
        <f>N3</f>
        <v>0</v>
      </c>
      <c r="CH1" t="str">
        <f>B6&amp;" "&amp;F6</f>
        <v xml:space="preserve"> </v>
      </c>
      <c r="CI1" t="s">
        <v>156</v>
      </c>
      <c r="CJ1" t="str">
        <f>N6&amp;" "&amp;R6</f>
        <v xml:space="preserve"> </v>
      </c>
      <c r="CK1"/>
      <c r="CL1">
        <f>L26</f>
        <v>0</v>
      </c>
      <c r="CM1">
        <f>N26</f>
        <v>0</v>
      </c>
      <c r="CN1"/>
      <c r="CO1">
        <f>AK27</f>
        <v>0</v>
      </c>
      <c r="CP1">
        <f>AK28</f>
        <v>0</v>
      </c>
      <c r="CQ1"/>
      <c r="CR1">
        <f>AL27</f>
        <v>0</v>
      </c>
      <c r="CS1">
        <f>ROUND(AL28,0)</f>
        <v>0</v>
      </c>
      <c r="CT1"/>
    </row>
    <row r="2" spans="1:98" ht="21" customHeight="1" thickBot="1" x14ac:dyDescent="0.25">
      <c r="A2" s="45" t="s">
        <v>23</v>
      </c>
      <c r="C2" s="27"/>
      <c r="D2" s="433" t="str">
        <f>IFERROR(VLOOKUP(R3,JourneeE6,2,FALSE),"")</f>
        <v/>
      </c>
      <c r="E2" s="434"/>
      <c r="F2" s="27"/>
      <c r="I2" s="27"/>
      <c r="N2" s="27"/>
      <c r="O2" s="27"/>
      <c r="AC2" t="s">
        <v>418</v>
      </c>
    </row>
    <row r="3" spans="1:98" ht="25" customHeight="1" x14ac:dyDescent="0.25">
      <c r="A3" s="45" t="s">
        <v>272</v>
      </c>
      <c r="C3" s="27"/>
      <c r="D3" s="435"/>
      <c r="E3" s="436"/>
      <c r="G3" s="437" t="s">
        <v>263</v>
      </c>
      <c r="H3" s="438"/>
      <c r="I3" s="439"/>
      <c r="J3" s="440"/>
      <c r="L3" s="41"/>
      <c r="M3" s="88" t="s">
        <v>28</v>
      </c>
      <c r="N3" s="111"/>
      <c r="P3" s="45" t="s">
        <v>368</v>
      </c>
      <c r="R3" s="110"/>
      <c r="AC3" s="27" t="s">
        <v>443</v>
      </c>
      <c r="AV3"/>
      <c r="AW3"/>
      <c r="AY3" s="36" t="s">
        <v>31</v>
      </c>
      <c r="AZ3" s="37" t="s">
        <v>29</v>
      </c>
      <c r="BA3" s="38" t="s">
        <v>30</v>
      </c>
      <c r="BI3" s="3" t="s">
        <v>155</v>
      </c>
      <c r="BJ3" s="3" t="str">
        <f t="shared" ref="BJ3:BJ5" si="0">Q9</f>
        <v xml:space="preserve"> </v>
      </c>
    </row>
    <row r="4" spans="1:98" ht="21" customHeight="1" thickBot="1" x14ac:dyDescent="0.25">
      <c r="C4" s="27"/>
      <c r="H4" s="88"/>
      <c r="AC4" s="27" t="s">
        <v>372</v>
      </c>
      <c r="AV4"/>
      <c r="AW4"/>
      <c r="AY4" s="29" t="s">
        <v>32</v>
      </c>
      <c r="AZ4" s="35" t="str">
        <f>'EQUIPE A 3'!$D$2</f>
        <v/>
      </c>
      <c r="BA4" s="31">
        <f>IFERROR(IF('EQUIPE A 3'!L16=1,VLOOKUP('EQUIPE A 3'!B6&amp;'EQUIPE A 3'!B9,'LISTE JOUEURS'!$P:$U,6,0),VLOOKUP('EQUIPE A 3'!N6&amp;'EQUIPE A 3'!P9,'LISTE JOUEURS'!$P:$U,6,0)),0)</f>
        <v>0</v>
      </c>
      <c r="BB4" t="e">
        <f>+_xlfn.XLOOKUP(BA4,'LISTE JOUEURS'!$U:$U,'LISTE JOUEURS'!$Q:$Q)&amp;" "&amp;_xlfn.XLOOKUP(BA4,'LISTE JOUEURS'!$U:$U,'LISTE JOUEURS'!$R:$R)</f>
        <v>#N/A</v>
      </c>
      <c r="BI4" s="3" t="s">
        <v>155</v>
      </c>
      <c r="BJ4" s="3" t="str">
        <f t="shared" si="0"/>
        <v xml:space="preserve"> </v>
      </c>
    </row>
    <row r="5" spans="1:98" ht="21" customHeight="1" thickTop="1" x14ac:dyDescent="0.2">
      <c r="A5" s="61"/>
      <c r="B5" s="50" t="s">
        <v>425</v>
      </c>
      <c r="C5" s="49"/>
      <c r="D5" s="49"/>
      <c r="E5" s="48"/>
      <c r="F5" s="49"/>
      <c r="G5" s="49"/>
      <c r="H5" s="49"/>
      <c r="I5" s="49"/>
      <c r="J5" s="49"/>
      <c r="K5" s="49"/>
      <c r="L5" s="49"/>
      <c r="M5" s="48"/>
      <c r="N5" s="54" t="s">
        <v>424</v>
      </c>
      <c r="O5" s="49"/>
      <c r="P5" s="48"/>
      <c r="Q5" s="48"/>
      <c r="R5" s="48"/>
      <c r="S5" s="90"/>
      <c r="T5" s="49"/>
      <c r="U5" s="51"/>
      <c r="AC5" s="27" t="s">
        <v>376</v>
      </c>
      <c r="AV5"/>
      <c r="AW5"/>
      <c r="AY5" s="29" t="s">
        <v>33</v>
      </c>
      <c r="AZ5" s="35" t="str">
        <f>'EQUIPE A 3'!$D$2</f>
        <v/>
      </c>
      <c r="BA5" s="31">
        <f>IFERROR(IF('EQUIPE A 3'!L16=0,VLOOKUP('EQUIPE A 3'!B6&amp;'EQUIPE A 3'!B9,'LISTE JOUEURS'!$P:$U,6,0),VLOOKUP('EQUIPE A 3'!N6&amp;'EQUIPE A 3'!P9,'LISTE JOUEURS'!$P:$U,6,0)),0)</f>
        <v>0</v>
      </c>
      <c r="BB5" t="e">
        <f>+_xlfn.XLOOKUP(BA5,'LISTE JOUEURS'!$U:$U,'LISTE JOUEURS'!$Q:$Q)&amp;" "&amp;_xlfn.XLOOKUP(BA5,'LISTE JOUEURS'!$U:$U,'LISTE JOUEURS'!$R:$R)</f>
        <v>#N/A</v>
      </c>
      <c r="BF5" t="s">
        <v>141</v>
      </c>
      <c r="BI5" s="3" t="s">
        <v>155</v>
      </c>
      <c r="BJ5" s="3" t="str">
        <f t="shared" si="0"/>
        <v xml:space="preserve"> </v>
      </c>
    </row>
    <row r="6" spans="1:98" ht="25" customHeight="1" thickBot="1" x14ac:dyDescent="0.3">
      <c r="A6" s="62"/>
      <c r="B6" s="441"/>
      <c r="C6" s="432"/>
      <c r="D6" s="432"/>
      <c r="E6" s="5"/>
      <c r="F6" s="109"/>
      <c r="G6" s="5"/>
      <c r="H6" s="5"/>
      <c r="I6" s="5"/>
      <c r="J6" s="5"/>
      <c r="K6" s="5"/>
      <c r="L6" s="5"/>
      <c r="M6" s="5"/>
      <c r="N6" s="431"/>
      <c r="O6" s="432"/>
      <c r="P6" s="432"/>
      <c r="Q6" s="5"/>
      <c r="R6" s="109"/>
      <c r="S6" s="5"/>
      <c r="T6" s="5"/>
      <c r="U6" s="53"/>
      <c r="W6" s="75" t="str">
        <f>+'Coupes départementales'!W6</f>
        <v>Mise à jour du 24 Novembre 2025</v>
      </c>
      <c r="AC6" s="27" t="s">
        <v>374</v>
      </c>
      <c r="AU6" s="2"/>
      <c r="AV6" s="4"/>
      <c r="AY6" s="29" t="s">
        <v>32</v>
      </c>
      <c r="AZ6" s="35" t="str">
        <f>'EQUIPE A 3'!$D$2</f>
        <v/>
      </c>
      <c r="BA6" s="31">
        <f>IFERROR(IF('EQUIPE A 3'!L17=1,VLOOKUP('EQUIPE A 3'!B6&amp;'EQUIPE A 3'!B10,'LISTE JOUEURS'!$P:$U,6,0),VLOOKUP('EQUIPE A 3'!N6&amp;'EQUIPE A 3'!P10,'LISTE JOUEURS'!$P:$U,6,0)),0)</f>
        <v>0</v>
      </c>
      <c r="BB6" t="e">
        <f>+_xlfn.XLOOKUP(BA6,'LISTE JOUEURS'!$U:$U,'LISTE JOUEURS'!$Q:$Q)&amp;" "&amp;_xlfn.XLOOKUP(BA6,'LISTE JOUEURS'!$U:$U,'LISTE JOUEURS'!$R:$R)</f>
        <v>#N/A</v>
      </c>
      <c r="BF6" t="s">
        <v>142</v>
      </c>
      <c r="BI6" s="3" t="s">
        <v>154</v>
      </c>
      <c r="BJ6" s="3" t="str">
        <f>C9</f>
        <v xml:space="preserve"> </v>
      </c>
    </row>
    <row r="7" spans="1:98" ht="21" customHeight="1" thickTop="1" thickBot="1" x14ac:dyDescent="0.25">
      <c r="L7" s="27"/>
      <c r="O7" s="27"/>
      <c r="AC7" s="27" t="s">
        <v>377</v>
      </c>
      <c r="AY7" s="29" t="s">
        <v>33</v>
      </c>
      <c r="AZ7" s="35" t="str">
        <f>'EQUIPE A 3'!$D$2</f>
        <v/>
      </c>
      <c r="BA7" s="31">
        <f>IFERROR(IF('EQUIPE A 3'!L17=0,VLOOKUP('EQUIPE A 3'!B6&amp;'EQUIPE A 3'!B10,'LISTE JOUEURS'!$P:$U,6,0),VLOOKUP('EQUIPE A 3'!N6&amp;'EQUIPE A 3'!P10,'LISTE JOUEURS'!$P:$U,6,0)),0)</f>
        <v>0</v>
      </c>
      <c r="BB7" t="e">
        <f>+_xlfn.XLOOKUP(BA7,'LISTE JOUEURS'!$U:$U,'LISTE JOUEURS'!$Q:$Q)&amp;" "&amp;_xlfn.XLOOKUP(BA7,'LISTE JOUEURS'!$U:$U,'LISTE JOUEURS'!$R:$R)</f>
        <v>#N/A</v>
      </c>
      <c r="BF7" t="s">
        <v>131</v>
      </c>
      <c r="BI7" s="3" t="s">
        <v>154</v>
      </c>
      <c r="BJ7" s="3" t="str">
        <f>C10</f>
        <v xml:space="preserve"> </v>
      </c>
    </row>
    <row r="8" spans="1:98" ht="21" customHeight="1" thickTop="1" x14ac:dyDescent="0.2">
      <c r="A8" s="63"/>
      <c r="B8" s="57"/>
      <c r="C8" s="56" t="s">
        <v>274</v>
      </c>
      <c r="D8" s="57"/>
      <c r="E8" s="57"/>
      <c r="F8" s="57"/>
      <c r="G8" s="57"/>
      <c r="H8" s="59"/>
      <c r="I8" s="58" t="s">
        <v>275</v>
      </c>
      <c r="J8" s="442" t="s">
        <v>367</v>
      </c>
      <c r="K8" s="443"/>
      <c r="L8" s="57"/>
      <c r="M8" s="59"/>
      <c r="N8" s="60"/>
      <c r="O8" s="59"/>
      <c r="P8" s="57" t="s">
        <v>370</v>
      </c>
      <c r="Q8" s="56" t="s">
        <v>274</v>
      </c>
      <c r="R8" s="57"/>
      <c r="S8" s="59"/>
      <c r="T8" s="59"/>
      <c r="U8" s="59"/>
      <c r="V8" s="59"/>
      <c r="W8" s="59"/>
      <c r="X8" s="58" t="s">
        <v>275</v>
      </c>
      <c r="Y8" s="442" t="s">
        <v>367</v>
      </c>
      <c r="Z8" s="443"/>
      <c r="AA8" s="60"/>
      <c r="AB8" s="87"/>
      <c r="AC8" s="27" t="s">
        <v>482</v>
      </c>
      <c r="AY8" s="29" t="s">
        <v>32</v>
      </c>
      <c r="AZ8" s="35" t="str">
        <f>'EQUIPE A 3'!$D$2</f>
        <v/>
      </c>
      <c r="BA8" s="31">
        <f>IFERROR(IF('EQUIPE A 3'!L18=1,VLOOKUP('EQUIPE A 3'!B6&amp;'EQUIPE A 3'!B11,'LISTE JOUEURS'!$P:$U,6,0),VLOOKUP('EQUIPE A 3'!N6&amp;'EQUIPE A 3'!P11,'LISTE JOUEURS'!$P:$U,6,0)),0)</f>
        <v>0</v>
      </c>
      <c r="BB8" t="e">
        <f>+_xlfn.XLOOKUP(BA8,'LISTE JOUEURS'!$U:$U,'LISTE JOUEURS'!$Q:$Q)&amp;" "&amp;_xlfn.XLOOKUP(BA8,'LISTE JOUEURS'!$U:$U,'LISTE JOUEURS'!$R:$R)</f>
        <v>#N/A</v>
      </c>
      <c r="BF8" t="s">
        <v>128</v>
      </c>
      <c r="BI8" s="3" t="s">
        <v>154</v>
      </c>
      <c r="BJ8" s="3" t="str">
        <f>C11</f>
        <v xml:space="preserve"> </v>
      </c>
    </row>
    <row r="9" spans="1:98" ht="25" customHeight="1" x14ac:dyDescent="0.2">
      <c r="A9" s="209" t="s">
        <v>0</v>
      </c>
      <c r="B9" s="210"/>
      <c r="C9" s="211" t="str">
        <f>IF(B9="","",IFERROR(VLOOKUP($B$6&amp;$B9,'LISTE JOUEURS'!$P:$S,2,0),"")) &amp;" "&amp; IF(B9="","",IFERROR(VLOOKUP($B$6&amp;$B9,'LISTE JOUEURS'!$P:$S,3,0),""))</f>
        <v xml:space="preserve"> </v>
      </c>
      <c r="D9" s="212"/>
      <c r="E9" s="212"/>
      <c r="F9" s="212"/>
      <c r="G9" s="212"/>
      <c r="H9" s="213"/>
      <c r="I9" s="214" t="str">
        <f>IF(B9="","",IFERROR(VLOOKUP($B$6&amp;$B9,'LISTE JOUEURS'!$P:$S,4,0),500))</f>
        <v/>
      </c>
      <c r="J9" s="444" t="str">
        <f>IF(B9="","",IFERROR(VLOOKUP($B$6&amp;$B9,'LISTE JOUEURS'!$P:$T,5,0),""))</f>
        <v/>
      </c>
      <c r="K9" s="445"/>
      <c r="L9" s="215"/>
      <c r="M9" s="213"/>
      <c r="N9" s="386"/>
      <c r="O9" s="215" t="s">
        <v>4</v>
      </c>
      <c r="P9" s="210"/>
      <c r="Q9" s="211" t="str">
        <f>IF(P9="","",IFERROR(VLOOKUP($N$6&amp;$P9,'LISTE JOUEURS'!$P:$S,2,0),""))&amp; " "&amp;IF(P9="","",IFERROR(VLOOKUP($N$6&amp;$P9,'LISTE JOUEURS'!$P:$S,3,0),""))</f>
        <v xml:space="preserve"> </v>
      </c>
      <c r="R9" s="212"/>
      <c r="S9" s="213"/>
      <c r="T9" s="213"/>
      <c r="U9" s="213"/>
      <c r="V9" s="213"/>
      <c r="W9" s="213"/>
      <c r="X9" s="214" t="str">
        <f>IF(P9="","",IFERROR(VLOOKUP($N$6&amp;$P9,'LISTE JOUEURS'!$P:$S,4,0),500))</f>
        <v/>
      </c>
      <c r="Y9" s="444" t="str">
        <f>IF(P9="","",IFERROR(VLOOKUP($N$6&amp;$P9,'LISTE JOUEURS'!$P:$T,5,0),""))</f>
        <v/>
      </c>
      <c r="Z9" s="445"/>
      <c r="AA9" s="216"/>
      <c r="AB9" s="47"/>
      <c r="AC9" s="27" t="s">
        <v>375</v>
      </c>
      <c r="AY9" s="29" t="s">
        <v>33</v>
      </c>
      <c r="AZ9" s="35" t="str">
        <f>'EQUIPE A 3'!$D$2</f>
        <v/>
      </c>
      <c r="BA9" s="31">
        <f>IFERROR(IF('EQUIPE A 3'!L18=0,VLOOKUP('EQUIPE A 3'!B6&amp;'EQUIPE A 3'!B11,'LISTE JOUEURS'!$P:$U,6,0),VLOOKUP('EQUIPE A 3'!N6&amp;'EQUIPE A 3'!P11,'LISTE JOUEURS'!$P:$U,6,0)),0)</f>
        <v>0</v>
      </c>
      <c r="BB9" t="e">
        <f>+_xlfn.XLOOKUP(BA9,'LISTE JOUEURS'!$U:$U,'LISTE JOUEURS'!$Q:$Q)&amp;" "&amp;_xlfn.XLOOKUP(BA9,'LISTE JOUEURS'!$U:$U,'LISTE JOUEURS'!$R:$R)</f>
        <v>#N/A</v>
      </c>
      <c r="BF9" t="s">
        <v>132</v>
      </c>
    </row>
    <row r="10" spans="1:98" ht="25" customHeight="1" x14ac:dyDescent="0.2">
      <c r="A10" s="217" t="s">
        <v>1</v>
      </c>
      <c r="B10" s="218"/>
      <c r="C10" s="219" t="str">
        <f>IF(B10="","",IFERROR(VLOOKUP($B$6&amp;$B10,'LISTE JOUEURS'!$P:$S,2,0),"")) &amp;" "&amp; IF(B10="","",IFERROR(VLOOKUP($B$6&amp;$B10,'LISTE JOUEURS'!$P:$S,3,0),""))</f>
        <v xml:space="preserve"> </v>
      </c>
      <c r="D10" s="220"/>
      <c r="E10" s="220"/>
      <c r="F10" s="220"/>
      <c r="G10" s="220"/>
      <c r="H10" s="221"/>
      <c r="I10" s="222" t="str">
        <f>IF(B10="","",IFERROR(VLOOKUP($B$6&amp;$B10,'LISTE JOUEURS'!$P:$S,4,0),500))</f>
        <v/>
      </c>
      <c r="J10" s="446" t="str">
        <f>IF(B10="","",IFERROR(VLOOKUP($B$6&amp;$B10,'LISTE JOUEURS'!$P:$T,5,0),""))</f>
        <v/>
      </c>
      <c r="K10" s="447"/>
      <c r="L10" s="223"/>
      <c r="M10" s="221"/>
      <c r="N10" s="387"/>
      <c r="O10" s="223" t="s">
        <v>5</v>
      </c>
      <c r="P10" s="218"/>
      <c r="Q10" s="219" t="str">
        <f>IF(P10="","",IFERROR(VLOOKUP($N$6&amp;$P10,'LISTE JOUEURS'!$P:$S,2,0),""))&amp; " "&amp;IF(P10="","",IFERROR(VLOOKUP($N$6&amp;$P10,'LISTE JOUEURS'!$P:$S,3,0),""))</f>
        <v xml:space="preserve"> </v>
      </c>
      <c r="R10" s="220"/>
      <c r="S10" s="221"/>
      <c r="T10" s="221"/>
      <c r="U10" s="221"/>
      <c r="V10" s="221"/>
      <c r="W10" s="221"/>
      <c r="X10" s="222" t="str">
        <f>IF(P10="","",IFERROR(VLOOKUP($N$6&amp;$P10,'LISTE JOUEURS'!$P:$S,4,0),500))</f>
        <v/>
      </c>
      <c r="Y10" s="446" t="str">
        <f>IF(P10="","",IFERROR(VLOOKUP($N$6&amp;$P10,'LISTE JOUEURS'!$P:$T,5,0),""))</f>
        <v/>
      </c>
      <c r="Z10" s="447"/>
      <c r="AA10" s="224"/>
      <c r="AB10" s="47"/>
      <c r="AC10" s="27" t="s">
        <v>394</v>
      </c>
      <c r="AY10" s="29" t="s">
        <v>32</v>
      </c>
      <c r="AZ10" s="35" t="str">
        <f>'EQUIPE A 3'!$D$2</f>
        <v/>
      </c>
      <c r="BA10" s="31">
        <f>IFERROR(IF('EQUIPE A 3'!L20=1,VLOOKUP('EQUIPE A 3'!B6&amp;'EQUIPE A 3'!B10,'LISTE JOUEURS'!$P:$U,6,0),VLOOKUP('EQUIPE A 3'!N6&amp;'EQUIPE A 3'!P9,'LISTE JOUEURS'!$P:$U,6,0)),0)</f>
        <v>0</v>
      </c>
      <c r="BB10" t="e">
        <f>+_xlfn.XLOOKUP(BA10,'LISTE JOUEURS'!$U:$U,'LISTE JOUEURS'!$Q:$Q)&amp;" "&amp;_xlfn.XLOOKUP(BA10,'LISTE JOUEURS'!$U:$U,'LISTE JOUEURS'!$R:$R)</f>
        <v>#N/A</v>
      </c>
      <c r="BF10" t="s">
        <v>133</v>
      </c>
    </row>
    <row r="11" spans="1:98" ht="25" customHeight="1" x14ac:dyDescent="0.2">
      <c r="A11" s="217" t="s">
        <v>2</v>
      </c>
      <c r="B11" s="218"/>
      <c r="C11" s="219" t="str">
        <f>IF(B11="","",IFERROR(VLOOKUP($B$6&amp;$B11,'LISTE JOUEURS'!$P:$S,2,0),"")) &amp;" "&amp; IF(B11="","",IFERROR(VLOOKUP($B$6&amp;$B11,'LISTE JOUEURS'!$P:$S,3,0),""))</f>
        <v xml:space="preserve"> </v>
      </c>
      <c r="D11" s="220"/>
      <c r="E11" s="220"/>
      <c r="F11" s="220"/>
      <c r="G11" s="220"/>
      <c r="H11" s="221"/>
      <c r="I11" s="222" t="str">
        <f>IF(B11="","",IFERROR(VLOOKUP($B$6&amp;$B11,'LISTE JOUEURS'!$P:$S,4,0),500))</f>
        <v/>
      </c>
      <c r="J11" s="446" t="str">
        <f>IF(B11="","",IFERROR(VLOOKUP($B$6&amp;$B11,'LISTE JOUEURS'!$P:$T,5,0),""))</f>
        <v/>
      </c>
      <c r="K11" s="447"/>
      <c r="L11" s="223"/>
      <c r="M11" s="221"/>
      <c r="N11" s="387"/>
      <c r="O11" s="223" t="s">
        <v>6</v>
      </c>
      <c r="P11" s="218"/>
      <c r="Q11" s="219" t="str">
        <f>IF(P11="","",IFERROR(VLOOKUP($N$6&amp;$P11,'LISTE JOUEURS'!$P:$S,2,0),""))&amp; " "&amp;IF(P11="","",IFERROR(VLOOKUP($N$6&amp;$P11,'LISTE JOUEURS'!$P:$S,3,0),""))</f>
        <v xml:space="preserve"> </v>
      </c>
      <c r="R11" s="220"/>
      <c r="S11" s="221"/>
      <c r="T11" s="221"/>
      <c r="U11" s="221"/>
      <c r="V11" s="221"/>
      <c r="W11" s="221"/>
      <c r="X11" s="222" t="str">
        <f>IF(P11="","",IFERROR(VLOOKUP($N$6&amp;$P11,'LISTE JOUEURS'!$P:$S,4,0),500))</f>
        <v/>
      </c>
      <c r="Y11" s="446" t="str">
        <f>IF(P11="","",IFERROR(VLOOKUP($N$6&amp;$P11,'LISTE JOUEURS'!$P:$T,5,0),""))</f>
        <v/>
      </c>
      <c r="Z11" s="447"/>
      <c r="AA11" s="224"/>
      <c r="AB11" s="47"/>
      <c r="AC11" s="27" t="s">
        <v>395</v>
      </c>
      <c r="AY11" s="29" t="s">
        <v>33</v>
      </c>
      <c r="AZ11" s="35" t="str">
        <f>'EQUIPE A 3'!$D$2</f>
        <v/>
      </c>
      <c r="BA11" s="31">
        <f>IFERROR(IF('EQUIPE A 3'!L20=0,VLOOKUP('EQUIPE A 3'!B6&amp;'EQUIPE A 3'!B10,'LISTE JOUEURS'!$P:$U,6,0),VLOOKUP('EQUIPE A 3'!N6&amp;'EQUIPE A 3'!P9,'LISTE JOUEURS'!$P:$U,6,0)),0)</f>
        <v>0</v>
      </c>
      <c r="BB11" t="e">
        <f>+_xlfn.XLOOKUP(BA11,'LISTE JOUEURS'!$U:$U,'LISTE JOUEURS'!$Q:$Q)&amp;" "&amp;_xlfn.XLOOKUP(BA11,'LISTE JOUEURS'!$U:$U,'LISTE JOUEURS'!$R:$R)</f>
        <v>#N/A</v>
      </c>
      <c r="BF11" t="s">
        <v>144</v>
      </c>
    </row>
    <row r="12" spans="1:98" ht="25" customHeight="1" x14ac:dyDescent="0.2">
      <c r="A12" s="427" t="s">
        <v>464</v>
      </c>
      <c r="B12" s="218"/>
      <c r="C12" s="219" t="str">
        <f>IF(B12="","",IFERROR(VLOOKUP($B$6&amp;$B12,'LISTE JOUEURS'!$P:$S,2,0),"")) &amp;" "&amp; IF(B12="","",IFERROR(VLOOKUP($B$6&amp;$B12,'LISTE JOUEURS'!$P:$S,3,0),""))</f>
        <v xml:space="preserve"> </v>
      </c>
      <c r="D12" s="220"/>
      <c r="E12" s="220"/>
      <c r="F12" s="220"/>
      <c r="G12" s="220"/>
      <c r="H12" s="221"/>
      <c r="I12" s="222" t="str">
        <f>IF(B12="","",IFERROR(VLOOKUP($B$6&amp;$B12,'LISTE JOUEURS'!$P:$S,4,0),500))</f>
        <v/>
      </c>
      <c r="J12" s="446" t="str">
        <f>IF(B12="","",IFERROR(VLOOKUP($B$6&amp;$B12,'LISTE JOUEURS'!$P:$T,5,0),""))</f>
        <v/>
      </c>
      <c r="K12" s="446"/>
      <c r="L12" s="223"/>
      <c r="M12" s="221"/>
      <c r="N12" s="387"/>
      <c r="O12" s="429" t="s">
        <v>464</v>
      </c>
      <c r="P12" s="218"/>
      <c r="Q12" s="219" t="str">
        <f>IF(P12="","",IFERROR(VLOOKUP($N$6&amp;$P12,'LISTE JOUEURS'!$P:$S,2,0),""))&amp; " "&amp;IF(P12="","",IFERROR(VLOOKUP($N$6&amp;$P12,'LISTE JOUEURS'!$P:$S,3,0),""))</f>
        <v xml:space="preserve"> </v>
      </c>
      <c r="R12" s="220"/>
      <c r="S12" s="221"/>
      <c r="T12" s="221"/>
      <c r="U12" s="221"/>
      <c r="V12" s="221"/>
      <c r="W12" s="221"/>
      <c r="X12" s="222" t="str">
        <f>IF(P12="","",IFERROR(VLOOKUP($N$6&amp;$P12,'LISTE JOUEURS'!$P:$S,4,0),500))</f>
        <v/>
      </c>
      <c r="Y12" s="446" t="str">
        <f>IF(P12="","",IFERROR(VLOOKUP($N$6&amp;$P12,'LISTE JOUEURS'!$P:$T,5,0),""))</f>
        <v/>
      </c>
      <c r="Z12" s="446"/>
      <c r="AA12" s="224"/>
      <c r="AB12" s="47"/>
      <c r="AC12" s="27" t="s">
        <v>404</v>
      </c>
      <c r="AY12" s="29" t="s">
        <v>32</v>
      </c>
      <c r="AZ12" s="35" t="str">
        <f>'EQUIPE A 3'!$D$2</f>
        <v/>
      </c>
      <c r="BA12" s="31">
        <f>IFERROR(IF('EQUIPE A 3'!L21=1,VLOOKUP('EQUIPE A 3'!B6&amp;'EQUIPE A 3'!B9,'LISTE JOUEURS'!$P:$U,6,0),VLOOKUP('EQUIPE A 3'!N6&amp;'EQUIPE A 3'!P11,'LISTE JOUEURS'!$P:$U,6,0)),0)</f>
        <v>0</v>
      </c>
      <c r="BB12" t="e">
        <f>+_xlfn.XLOOKUP(BA12,'LISTE JOUEURS'!$U:$U,'LISTE JOUEURS'!$Q:$Q)&amp;" "&amp;_xlfn.XLOOKUP(BA12,'LISTE JOUEURS'!$U:$U,'LISTE JOUEURS'!$R:$R)</f>
        <v>#N/A</v>
      </c>
      <c r="BF12" t="s">
        <v>590</v>
      </c>
      <c r="BI12" s="3"/>
      <c r="BJ12" s="3"/>
    </row>
    <row r="13" spans="1:98" ht="25" customHeight="1" thickBot="1" x14ac:dyDescent="0.25">
      <c r="A13" s="428"/>
      <c r="B13" s="225"/>
      <c r="C13" s="226" t="str">
        <f>IF(B13="","",IFERROR(VLOOKUP($B$6&amp;$B13,'LISTE JOUEURS'!$P:$S,2,0),"")) &amp;" "&amp; IF(B13="","",IFERROR(VLOOKUP($B$6&amp;$B13,'LISTE JOUEURS'!$P:$S,3,0),""))</f>
        <v xml:space="preserve"> </v>
      </c>
      <c r="D13" s="227"/>
      <c r="E13" s="227"/>
      <c r="F13" s="227"/>
      <c r="G13" s="227"/>
      <c r="H13" s="228"/>
      <c r="I13" s="229" t="str">
        <f>IF(B13="","",IFERROR(VLOOKUP($B$6&amp;$B13,'LISTE JOUEURS'!$P:$S,4,0),500))</f>
        <v/>
      </c>
      <c r="J13" s="448" t="str">
        <f>IF(B13="","",IFERROR(VLOOKUP($B$6&amp;$B13,'LISTE JOUEURS'!$P:$T,5,0),""))</f>
        <v/>
      </c>
      <c r="K13" s="448"/>
      <c r="L13" s="230"/>
      <c r="M13" s="228"/>
      <c r="N13" s="388"/>
      <c r="O13" s="430"/>
      <c r="P13" s="225"/>
      <c r="Q13" s="226" t="str">
        <f>IF(P13="","",IFERROR(VLOOKUP($N$6&amp;$P13,'LISTE JOUEURS'!$P:$S,2,0),""))&amp; " "&amp;IF(P13="","",IFERROR(VLOOKUP($N$6&amp;$P13,'LISTE JOUEURS'!$P:$S,3,0),""))</f>
        <v xml:space="preserve"> </v>
      </c>
      <c r="R13" s="227"/>
      <c r="S13" s="228"/>
      <c r="T13" s="228"/>
      <c r="U13" s="228"/>
      <c r="V13" s="228"/>
      <c r="W13" s="228"/>
      <c r="X13" s="229" t="str">
        <f>IF(P13="","",IFERROR(VLOOKUP($N$6&amp;$P13,'LISTE JOUEURS'!$P:$S,4,0),500))</f>
        <v/>
      </c>
      <c r="Y13" s="448" t="str">
        <f>IF(P13="","",IFERROR(VLOOKUP($N$6&amp;$P13,'LISTE JOUEURS'!$P:$T,5,0),""))</f>
        <v/>
      </c>
      <c r="Z13" s="448"/>
      <c r="AA13" s="231"/>
      <c r="AB13" s="47"/>
      <c r="AC13" s="27" t="s">
        <v>420</v>
      </c>
      <c r="AY13" s="29" t="s">
        <v>33</v>
      </c>
      <c r="AZ13" s="35" t="str">
        <f>'EQUIPE A 3'!$D$2</f>
        <v/>
      </c>
      <c r="BA13" s="31">
        <f>IFERROR(IF('EQUIPE A 3'!L21=0,VLOOKUP('EQUIPE A 3'!B6&amp;'EQUIPE A 3'!B9,'LISTE JOUEURS'!$P:$U,6,0),VLOOKUP('EQUIPE A 3'!N6&amp;'EQUIPE A 3'!P11,'LISTE JOUEURS'!$P:$U,6,0)),0)</f>
        <v>0</v>
      </c>
      <c r="BB13" t="e">
        <f>+_xlfn.XLOOKUP(BA13,'LISTE JOUEURS'!$U:$U,'LISTE JOUEURS'!$Q:$Q)&amp;" "&amp;_xlfn.XLOOKUP(BA13,'LISTE JOUEURS'!$U:$U,'LISTE JOUEURS'!$R:$R)</f>
        <v>#N/A</v>
      </c>
      <c r="BF13" t="s">
        <v>146</v>
      </c>
      <c r="BI13" s="3"/>
      <c r="BJ13" s="3"/>
    </row>
    <row r="14" spans="1:98" ht="21" customHeight="1" thickTop="1" thickBot="1" x14ac:dyDescent="0.25">
      <c r="A14" s="455" t="s">
        <v>521</v>
      </c>
      <c r="B14" s="456"/>
      <c r="C14" s="456"/>
      <c r="D14" s="456"/>
      <c r="E14" s="456"/>
      <c r="F14" s="456"/>
      <c r="G14" s="456"/>
      <c r="H14" s="456"/>
      <c r="I14" s="456"/>
      <c r="J14" s="456"/>
      <c r="K14" s="456"/>
      <c r="L14" s="456"/>
      <c r="M14" s="456"/>
      <c r="N14" s="456"/>
      <c r="O14" s="456"/>
      <c r="P14" s="456"/>
      <c r="Q14" s="456"/>
      <c r="R14" s="456"/>
      <c r="S14" s="456"/>
      <c r="T14" s="456"/>
      <c r="U14" s="456"/>
      <c r="V14" s="456"/>
      <c r="W14" s="456"/>
      <c r="X14" s="456"/>
      <c r="Y14" s="456"/>
      <c r="Z14" s="456"/>
      <c r="AA14" s="456"/>
      <c r="AB14" s="47"/>
      <c r="AC14" s="79" t="s">
        <v>419</v>
      </c>
      <c r="AY14" s="66" t="s">
        <v>32</v>
      </c>
      <c r="AZ14" s="67" t="str">
        <f>'EQUIPE A 3'!$D$2</f>
        <v/>
      </c>
      <c r="BA14" s="31">
        <f>IFERROR(IF('EQUIPE A 3'!L22=1,VLOOKUP('EQUIPE A 3'!B6&amp;'EQUIPE A 3'!B11,'LISTE JOUEURS'!$P:$U,6,0),VLOOKUP('EQUIPE A 3'!N6&amp;'EQUIPE A 3'!P10,'LISTE JOUEURS'!$P:$U,6,0)),0)</f>
        <v>0</v>
      </c>
      <c r="BB14" t="e">
        <f>+_xlfn.XLOOKUP(BA14,'LISTE JOUEURS'!$U:$U,'LISTE JOUEURS'!$Q:$Q)&amp;" "&amp;_xlfn.XLOOKUP(BA14,'LISTE JOUEURS'!$U:$U,'LISTE JOUEURS'!$R:$R)</f>
        <v>#N/A</v>
      </c>
      <c r="BF14" s="64" t="s">
        <v>134</v>
      </c>
      <c r="BI14" s="65"/>
      <c r="BJ14" s="65"/>
    </row>
    <row r="15" spans="1:98" s="64" customFormat="1" ht="21" customHeight="1" thickTop="1" x14ac:dyDescent="0.25">
      <c r="A15" s="70" t="s">
        <v>12</v>
      </c>
      <c r="B15" s="71" t="s">
        <v>13</v>
      </c>
      <c r="C15" s="72" t="s">
        <v>14</v>
      </c>
      <c r="D15" s="72" t="s">
        <v>15</v>
      </c>
      <c r="E15" s="72" t="s">
        <v>16</v>
      </c>
      <c r="F15" s="73" t="str">
        <f>+B6&amp;" "&amp;F6</f>
        <v xml:space="preserve"> </v>
      </c>
      <c r="G15" s="57"/>
      <c r="H15" s="57"/>
      <c r="I15" s="57"/>
      <c r="J15" s="57"/>
      <c r="K15" s="57"/>
      <c r="L15" s="71" t="s">
        <v>276</v>
      </c>
      <c r="M15" s="57"/>
      <c r="N15" s="71" t="s">
        <v>277</v>
      </c>
      <c r="O15" s="73" t="str">
        <f>+N6&amp; " "&amp;R6</f>
        <v xml:space="preserve"> </v>
      </c>
      <c r="P15" s="57"/>
      <c r="Q15" s="57"/>
      <c r="R15" s="57"/>
      <c r="S15" s="57"/>
      <c r="T15" s="74"/>
      <c r="U15" s="59" t="s">
        <v>371</v>
      </c>
      <c r="V15" s="59"/>
      <c r="W15" s="59"/>
      <c r="X15" s="59"/>
      <c r="Y15" s="59"/>
      <c r="Z15" s="59"/>
      <c r="AA15" s="60"/>
      <c r="AE15" s="171"/>
      <c r="AG15"/>
      <c r="AH15"/>
      <c r="AI15" t="s">
        <v>997</v>
      </c>
      <c r="AJ15" t="s">
        <v>998</v>
      </c>
      <c r="AK15" t="s">
        <v>999</v>
      </c>
      <c r="AL15" t="s">
        <v>1000</v>
      </c>
      <c r="AM15" t="s">
        <v>1001</v>
      </c>
      <c r="AN15" t="s">
        <v>997</v>
      </c>
      <c r="AO15" t="s">
        <v>998</v>
      </c>
      <c r="AP15" t="s">
        <v>999</v>
      </c>
      <c r="AQ15" t="s">
        <v>1000</v>
      </c>
      <c r="AR15" t="s">
        <v>1001</v>
      </c>
      <c r="AS15" t="s">
        <v>997</v>
      </c>
      <c r="AT15" t="s">
        <v>998</v>
      </c>
      <c r="AU15" t="s">
        <v>999</v>
      </c>
      <c r="AV15" t="s">
        <v>1000</v>
      </c>
      <c r="AW15" t="s">
        <v>1001</v>
      </c>
      <c r="AX15" s="65"/>
      <c r="AY15" s="66" t="s">
        <v>33</v>
      </c>
      <c r="AZ15" s="67" t="str">
        <f>'EQUIPE A 3'!$D$2</f>
        <v/>
      </c>
      <c r="BA15" s="68">
        <f>IFERROR(IF('EQUIPE A 3'!L22=0,VLOOKUP('EQUIPE A 3'!B6&amp;'EQUIPE A 3'!B11,'LISTE JOUEURS'!$P:$U,6,0),VLOOKUP('EQUIPE A 3'!N6&amp;'EQUIPE A 3'!P10,'LISTE JOUEURS'!$P:$U,6,0)),0)</f>
        <v>0</v>
      </c>
      <c r="BB15" t="e">
        <f>+_xlfn.XLOOKUP(BA15,'LISTE JOUEURS'!$U:$U,'LISTE JOUEURS'!$Q:$Q)&amp;" "&amp;_xlfn.XLOOKUP(BA15,'LISTE JOUEURS'!$U:$U,'LISTE JOUEURS'!$R:$R)</f>
        <v>#N/A</v>
      </c>
      <c r="BF15" t="s">
        <v>495</v>
      </c>
    </row>
    <row r="16" spans="1:98" ht="25" customHeight="1" x14ac:dyDescent="0.2">
      <c r="A16" s="398"/>
      <c r="B16" s="399"/>
      <c r="C16" s="399"/>
      <c r="D16" s="404"/>
      <c r="E16" s="232"/>
      <c r="F16" s="213" t="str">
        <f>C9</f>
        <v xml:space="preserve"> </v>
      </c>
      <c r="G16" s="212"/>
      <c r="H16" s="212"/>
      <c r="I16" s="212"/>
      <c r="J16" s="212"/>
      <c r="K16" s="212"/>
      <c r="L16" s="233" t="str">
        <f>IF(ISNUMBER(A16),IF(OR(COUNTIF(A16:E16,"&gt;=0")&gt;3,COUNTIF(A16:E16,"&lt;0")&gt;3),"",IF((COUNTIF(A16:E16,"&gt;=0")-COUNTIF(A16:E16,"&lt;0"))&lt;0,0,1)),IF(OR(F16="Forfait W.O.",A16=-88,A16=-99),0,IF(OR(O16="Forfait W.O.",A16=99,A16=88),1,"")))</f>
        <v/>
      </c>
      <c r="M16" s="234" t="s">
        <v>8</v>
      </c>
      <c r="N16" s="233" t="str">
        <f>IF(AND(ISNUMBER(A16),ISNUMBER(L16)),1-L16,IF(O16="Forfait W.O.",0,IF(F16="Forfait W.O.",1,"")))</f>
        <v/>
      </c>
      <c r="O16" s="213" t="str">
        <f>Q9</f>
        <v xml:space="preserve"> </v>
      </c>
      <c r="P16" s="213"/>
      <c r="Q16" s="212"/>
      <c r="R16" s="212"/>
      <c r="S16" s="212"/>
      <c r="T16" s="235"/>
      <c r="U16" s="213" t="str">
        <f>IF(OR(COUNTIF(A16:E16,"&gt;=0")&gt;3,COUNTIF(A16:E16,"&lt;0")&gt;3),"Sets mal notés. Refaire la saisie svp",IF(ABS(A16)=99,"Abandon avant le début de la partie",IF(ABS(A16)=88,"Abandon en cours de partie"," ")))</f>
        <v xml:space="preserve"> </v>
      </c>
      <c r="V16" s="213"/>
      <c r="W16" s="213"/>
      <c r="X16" s="213"/>
      <c r="Y16" s="213"/>
      <c r="Z16" s="213"/>
      <c r="AA16" s="216"/>
      <c r="AB16" s="87"/>
      <c r="AC16" s="393" t="s">
        <v>158</v>
      </c>
      <c r="AD16" s="200" t="s">
        <v>150</v>
      </c>
      <c r="AE16" s="382"/>
      <c r="AF16" s="200"/>
      <c r="AI16">
        <f t="shared" ref="AI16:AM20" si="1">IF(A16&gt;0,1,IF(A16&lt;0,-1,0))</f>
        <v>0</v>
      </c>
      <c r="AJ16">
        <f t="shared" si="1"/>
        <v>0</v>
      </c>
      <c r="AK16">
        <f t="shared" si="1"/>
        <v>0</v>
      </c>
      <c r="AL16">
        <f t="shared" si="1"/>
        <v>0</v>
      </c>
      <c r="AM16">
        <f t="shared" si="1"/>
        <v>0</v>
      </c>
      <c r="AN16" s="3">
        <f>IF(AND(A16&gt;0,A16&lt;10),11,IF(AND(A16&gt;0,A16&gt;9),A16+2,IF(AND(A16&lt;0,A16&gt;-10),-11,IF(AND(A16&lt;0,A16&lt;-9),A16-2,0))))</f>
        <v>0</v>
      </c>
      <c r="AO16" s="3">
        <f t="shared" ref="AO16:AR20" si="2">IF(AND(B16&gt;0,B16&lt;10),11,IF(AND(B16&gt;0,B16&gt;9),B16+2,IF(AND(B16&lt;0,B16&gt;-10),-11,IF(AND(B16&lt;0,B16&lt;-9),B16-2,0))))</f>
        <v>0</v>
      </c>
      <c r="AP16" s="3">
        <f t="shared" si="2"/>
        <v>0</v>
      </c>
      <c r="AQ16" s="3">
        <f t="shared" si="2"/>
        <v>0</v>
      </c>
      <c r="AR16" s="3">
        <f t="shared" si="2"/>
        <v>0</v>
      </c>
      <c r="AS16" s="202">
        <f>-A16</f>
        <v>0</v>
      </c>
      <c r="AT16" s="202">
        <f t="shared" ref="AT16:AW20" si="3">-B16</f>
        <v>0</v>
      </c>
      <c r="AU16" s="202">
        <f t="shared" si="3"/>
        <v>0</v>
      </c>
      <c r="AV16" s="202">
        <f t="shared" si="3"/>
        <v>0</v>
      </c>
      <c r="AW16" s="202">
        <f t="shared" si="3"/>
        <v>0</v>
      </c>
      <c r="AY16" s="29" t="s">
        <v>32</v>
      </c>
      <c r="AZ16" s="35" t="str">
        <f>'EQUIPE A 3'!$D$2</f>
        <v/>
      </c>
      <c r="BA16" s="31">
        <f>IFERROR(IF('EQUIPE A 3'!L23=1,VLOOKUP('EQUIPE A 3'!B6&amp;'EQUIPE A 3'!B10,'LISTE JOUEURS'!$P:$U,6,0),VLOOKUP('EQUIPE A 3'!N6&amp;'EQUIPE A 3'!P11,'LISTE JOUEURS'!$P:$U,6,0)),0)</f>
        <v>0</v>
      </c>
      <c r="BB16" t="e">
        <f>+_xlfn.XLOOKUP(BA16,'LISTE JOUEURS'!$U:$U,'LISTE JOUEURS'!$Q:$Q)&amp;" "&amp;_xlfn.XLOOKUP(BA16,'LISTE JOUEURS'!$U:$U,'LISTE JOUEURS'!$R:$R)</f>
        <v>#N/A</v>
      </c>
      <c r="BF16" t="s">
        <v>147</v>
      </c>
    </row>
    <row r="17" spans="1:58" ht="25" customHeight="1" x14ac:dyDescent="0.2">
      <c r="A17" s="400"/>
      <c r="B17" s="402"/>
      <c r="C17" s="402"/>
      <c r="D17" s="402"/>
      <c r="E17" s="236"/>
      <c r="F17" s="221" t="str">
        <f>C10</f>
        <v xml:space="preserve"> </v>
      </c>
      <c r="G17" s="220"/>
      <c r="H17" s="220"/>
      <c r="I17" s="220"/>
      <c r="J17" s="220"/>
      <c r="K17" s="220"/>
      <c r="L17" s="237" t="str">
        <f>IF(ISNUMBER(A17),IF(OR(COUNTIF(A17:E17,"&gt;=0")&gt;3,COUNTIF(A17:E17,"&lt;0")&gt;3),"",IF((COUNTIF(A17:E17,"&gt;=0")-COUNTIF(A17:E17,"&lt;0"))&lt;0,0,1)),IF(OR(F17="Forfait W.O.",A17=-88,A17=-99),0,IF(OR(O17="Forfait W.O.",A17=99,A17=88),1,"")))</f>
        <v/>
      </c>
      <c r="M17" s="238" t="s">
        <v>9</v>
      </c>
      <c r="N17" s="237" t="str">
        <f t="shared" ref="N17:N18" si="4">IF(AND(ISNUMBER(A17),ISNUMBER(L17)),1-L17,IF(O17="Forfait W.O.",0,IF(F17="Forfait W.O.",1,"")))</f>
        <v/>
      </c>
      <c r="O17" s="221" t="str">
        <f>Q10</f>
        <v xml:space="preserve"> </v>
      </c>
      <c r="P17" s="221"/>
      <c r="Q17" s="220"/>
      <c r="R17" s="220"/>
      <c r="S17" s="220"/>
      <c r="T17" s="239"/>
      <c r="U17" s="221" t="str">
        <f t="shared" ref="U17:U25" si="5">IF(OR(COUNTIF(A17:E17,"&gt;=0")&gt;3,COUNTIF(A17:E17,"&lt;0")&gt;3),"Sets mal notés. Refaire la saisie svp",IF(ABS(A17)=99,"Abandon avant le début de la partie",IF(ABS(A17)=88,"Abandon en cours de partie"," ")))</f>
        <v xml:space="preserve"> </v>
      </c>
      <c r="V17" s="221"/>
      <c r="W17" s="221"/>
      <c r="X17" s="221"/>
      <c r="Y17" s="221"/>
      <c r="Z17" s="221"/>
      <c r="AA17" s="224"/>
      <c r="AB17" s="47"/>
      <c r="AC17" s="200"/>
      <c r="AD17" s="200"/>
      <c r="AE17" s="382"/>
      <c r="AF17" s="200"/>
      <c r="AI17">
        <f t="shared" si="1"/>
        <v>0</v>
      </c>
      <c r="AJ17">
        <f t="shared" si="1"/>
        <v>0</v>
      </c>
      <c r="AK17">
        <f t="shared" si="1"/>
        <v>0</v>
      </c>
      <c r="AL17">
        <f t="shared" si="1"/>
        <v>0</v>
      </c>
      <c r="AM17">
        <f t="shared" si="1"/>
        <v>0</v>
      </c>
      <c r="AN17" s="3">
        <f t="shared" ref="AN17:AN20" si="6">IF(AND(A17&gt;0,A17&lt;10),11,IF(AND(A17&gt;0,A17&gt;9),A17+2,IF(AND(A17&lt;0,A17&gt;-10),-11,IF(AND(A17&lt;0,A17&lt;-9),A17-2,0))))</f>
        <v>0</v>
      </c>
      <c r="AO17" s="3">
        <f t="shared" si="2"/>
        <v>0</v>
      </c>
      <c r="AP17" s="3">
        <f t="shared" si="2"/>
        <v>0</v>
      </c>
      <c r="AQ17" s="3">
        <f t="shared" si="2"/>
        <v>0</v>
      </c>
      <c r="AR17" s="3">
        <f t="shared" si="2"/>
        <v>0</v>
      </c>
      <c r="AS17" s="202">
        <f t="shared" ref="AS17:AS20" si="7">-A17</f>
        <v>0</v>
      </c>
      <c r="AT17" s="202">
        <f t="shared" si="3"/>
        <v>0</v>
      </c>
      <c r="AU17" s="202">
        <f t="shared" si="3"/>
        <v>0</v>
      </c>
      <c r="AV17" s="202">
        <f t="shared" si="3"/>
        <v>0</v>
      </c>
      <c r="AW17" s="202">
        <f t="shared" si="3"/>
        <v>0</v>
      </c>
      <c r="AY17" s="29" t="s">
        <v>33</v>
      </c>
      <c r="AZ17" s="35" t="str">
        <f>'EQUIPE A 3'!$D$2</f>
        <v/>
      </c>
      <c r="BA17" s="31">
        <f>IFERROR(IF('EQUIPE A 3'!L23=0,VLOOKUP('EQUIPE A 3'!B6&amp;'EQUIPE A 3'!B10,'LISTE JOUEURS'!$P:$U,6,0),VLOOKUP('EQUIPE A 3'!N6&amp;'EQUIPE A 3'!P11,'LISTE JOUEURS'!$P:$U,6,0)),0)</f>
        <v>0</v>
      </c>
      <c r="BB17" t="e">
        <f>+_xlfn.XLOOKUP(BA17,'LISTE JOUEURS'!$U:$U,'LISTE JOUEURS'!$Q:$Q)&amp;" "&amp;_xlfn.XLOOKUP(BA17,'LISTE JOUEURS'!$U:$U,'LISTE JOUEURS'!$R:$R)</f>
        <v>#N/A</v>
      </c>
      <c r="BF17" t="s">
        <v>139</v>
      </c>
    </row>
    <row r="18" spans="1:58" ht="16" x14ac:dyDescent="0.2">
      <c r="A18" s="400"/>
      <c r="B18" s="402"/>
      <c r="C18" s="402"/>
      <c r="D18" s="402"/>
      <c r="E18" s="236"/>
      <c r="F18" s="221" t="str">
        <f>C11</f>
        <v xml:space="preserve"> </v>
      </c>
      <c r="G18" s="220"/>
      <c r="H18" s="220"/>
      <c r="I18" s="220"/>
      <c r="J18" s="220"/>
      <c r="K18" s="220"/>
      <c r="L18" s="237" t="str">
        <f>IF(ISNUMBER(A18),IF(OR(COUNTIF(A18:E18,"&gt;=0")&gt;3,COUNTIF(A18:E18,"&lt;0")&gt;3),"",IF((COUNTIF(A18:E18,"&gt;=0")-COUNTIF(A18:E18,"&lt;0"))&lt;0,0,1)),IF(OR(F18="Forfait W.O.",A18=-88,A18=-99),0,IF(OR(O18="Forfait W.O.",A18=99,A18=88),1,"")))</f>
        <v/>
      </c>
      <c r="M18" s="238" t="s">
        <v>17</v>
      </c>
      <c r="N18" s="237" t="str">
        <f t="shared" si="4"/>
        <v/>
      </c>
      <c r="O18" s="221" t="str">
        <f>Q11</f>
        <v xml:space="preserve"> </v>
      </c>
      <c r="P18" s="221"/>
      <c r="Q18" s="220"/>
      <c r="R18" s="220"/>
      <c r="S18" s="220"/>
      <c r="T18" s="239"/>
      <c r="U18" s="221" t="str">
        <f t="shared" si="5"/>
        <v xml:space="preserve"> </v>
      </c>
      <c r="V18" s="221"/>
      <c r="W18" s="221"/>
      <c r="X18" s="221"/>
      <c r="Y18" s="221"/>
      <c r="Z18" s="221"/>
      <c r="AA18" s="224"/>
      <c r="AB18" s="47"/>
      <c r="AC18" s="394" t="s">
        <v>25</v>
      </c>
      <c r="AD18" s="394" t="s">
        <v>26</v>
      </c>
      <c r="AE18" s="395" t="s">
        <v>370</v>
      </c>
      <c r="AF18" s="396" t="s">
        <v>489</v>
      </c>
      <c r="AI18">
        <f t="shared" si="1"/>
        <v>0</v>
      </c>
      <c r="AJ18">
        <f t="shared" si="1"/>
        <v>0</v>
      </c>
      <c r="AK18">
        <f t="shared" si="1"/>
        <v>0</v>
      </c>
      <c r="AL18">
        <f t="shared" si="1"/>
        <v>0</v>
      </c>
      <c r="AM18">
        <f t="shared" si="1"/>
        <v>0</v>
      </c>
      <c r="AN18" s="3">
        <f t="shared" si="6"/>
        <v>0</v>
      </c>
      <c r="AO18" s="3">
        <f t="shared" si="2"/>
        <v>0</v>
      </c>
      <c r="AP18" s="3">
        <f t="shared" si="2"/>
        <v>0</v>
      </c>
      <c r="AQ18" s="3">
        <f t="shared" si="2"/>
        <v>0</v>
      </c>
      <c r="AR18" s="3">
        <f t="shared" si="2"/>
        <v>0</v>
      </c>
      <c r="AS18" s="202">
        <f t="shared" si="7"/>
        <v>0</v>
      </c>
      <c r="AT18" s="202">
        <f t="shared" si="3"/>
        <v>0</v>
      </c>
      <c r="AU18" s="202">
        <f t="shared" si="3"/>
        <v>0</v>
      </c>
      <c r="AV18" s="202">
        <f t="shared" si="3"/>
        <v>0</v>
      </c>
      <c r="AW18" s="202">
        <f t="shared" si="3"/>
        <v>0</v>
      </c>
      <c r="AY18" s="29" t="s">
        <v>32</v>
      </c>
      <c r="AZ18" s="35" t="str">
        <f>'EQUIPE A 3'!$D$2</f>
        <v/>
      </c>
      <c r="BA18" s="31">
        <f>IFERROR(IF('EQUIPE A 3'!L24=1,VLOOKUP('EQUIPE A 3'!B6&amp;'EQUIPE A 3'!B11,'LISTE JOUEURS'!$P:$U,6,0),VLOOKUP('EQUIPE A 3'!N6&amp;'EQUIPE A 3'!P9,'LISTE JOUEURS'!$P:$U,6,0)),0)</f>
        <v>0</v>
      </c>
      <c r="BB18" t="e">
        <f>+_xlfn.XLOOKUP(BA18,'LISTE JOUEURS'!$U:$U,'LISTE JOUEURS'!$Q:$Q)&amp;" "&amp;_xlfn.XLOOKUP(BA18,'LISTE JOUEURS'!$U:$U,'LISTE JOUEURS'!$R:$R)</f>
        <v>#N/A</v>
      </c>
      <c r="BC18" t="s">
        <v>380</v>
      </c>
      <c r="BD18" t="s">
        <v>381</v>
      </c>
      <c r="BF18" t="s">
        <v>129</v>
      </c>
    </row>
    <row r="19" spans="1:58" ht="16" x14ac:dyDescent="0.2">
      <c r="A19" s="400"/>
      <c r="B19" s="402"/>
      <c r="C19" s="402"/>
      <c r="D19" s="402"/>
      <c r="E19" s="236"/>
      <c r="F19" s="221" t="str">
        <f>B6&amp;" "&amp;F6</f>
        <v xml:space="preserve"> </v>
      </c>
      <c r="G19" s="220"/>
      <c r="H19" s="220"/>
      <c r="I19" s="220"/>
      <c r="J19" s="220"/>
      <c r="K19" s="220"/>
      <c r="L19" s="237" t="str">
        <f>IF(ISNUMBER(A19),IF(OR(COUNTIF(A19:E19,"&gt;=0")&gt;3,COUNTIF(A19:E19,"&lt;0")&gt;3),"XXX",IF((COUNTIF(A19:E19,"&gt;=0")-COUNTIF(A19:E19,"&lt;0"))&lt;0,0,IF($I$3="SuperDiv",8,2))),IF(OR(RIGHT(F19,4)="W.O.",A19=-88,A19=-99),0,IF(OR(RIGHT(O19,4)="W.O.",A19=99,A19=88),IF($I$3="SuperDiv",8,2),"")))</f>
        <v/>
      </c>
      <c r="M19" s="238" t="s">
        <v>486</v>
      </c>
      <c r="N19" s="237" t="str">
        <f>IF(AND(ISNUMBER(A19),ISNUMBER(L19)),IF($I$3="SuperDiv",2-L19,2-L19),IF(RIGHT(O19,4)="W.O.",0,IF(RIGHT(F19,4)="W.O.",IF($I$3="SuperDiv",8,2),"")))</f>
        <v/>
      </c>
      <c r="O19" s="259" t="str">
        <f>N6&amp;" "&amp;R6</f>
        <v xml:space="preserve"> </v>
      </c>
      <c r="P19" s="221"/>
      <c r="Q19" s="220"/>
      <c r="R19" s="220"/>
      <c r="S19" s="220"/>
      <c r="T19" s="239"/>
      <c r="U19" s="221"/>
      <c r="V19" s="221"/>
      <c r="W19" s="221"/>
      <c r="X19" s="221"/>
      <c r="Y19" s="221"/>
      <c r="Z19" s="221"/>
      <c r="AA19" s="224"/>
      <c r="AB19" s="47"/>
      <c r="AC19" s="397" t="s">
        <v>633</v>
      </c>
      <c r="AD19" s="200" t="s">
        <v>296</v>
      </c>
      <c r="AE19" s="205">
        <v>4</v>
      </c>
      <c r="AF19" s="200" t="s">
        <v>1856</v>
      </c>
      <c r="AI19">
        <f t="shared" si="1"/>
        <v>0</v>
      </c>
      <c r="AJ19">
        <f t="shared" si="1"/>
        <v>0</v>
      </c>
      <c r="AK19">
        <f t="shared" si="1"/>
        <v>0</v>
      </c>
      <c r="AL19">
        <f t="shared" si="1"/>
        <v>0</v>
      </c>
      <c r="AM19">
        <f t="shared" si="1"/>
        <v>0</v>
      </c>
      <c r="AN19" s="3">
        <f t="shared" si="6"/>
        <v>0</v>
      </c>
      <c r="AO19" s="3">
        <f t="shared" si="2"/>
        <v>0</v>
      </c>
      <c r="AP19" s="3">
        <f t="shared" si="2"/>
        <v>0</v>
      </c>
      <c r="AQ19" s="3">
        <f t="shared" si="2"/>
        <v>0</v>
      </c>
      <c r="AR19" s="3">
        <f t="shared" si="2"/>
        <v>0</v>
      </c>
      <c r="AS19" s="202">
        <f t="shared" si="7"/>
        <v>0</v>
      </c>
      <c r="AT19" s="202">
        <f t="shared" si="3"/>
        <v>0</v>
      </c>
      <c r="AU19" s="202">
        <f t="shared" si="3"/>
        <v>0</v>
      </c>
      <c r="AV19" s="202">
        <f t="shared" si="3"/>
        <v>0</v>
      </c>
      <c r="AW19" s="202">
        <f t="shared" si="3"/>
        <v>0</v>
      </c>
      <c r="AY19" s="29" t="s">
        <v>33</v>
      </c>
      <c r="AZ19" s="35" t="str">
        <f>'EQUIPE A 3'!$D$2</f>
        <v/>
      </c>
      <c r="BA19" s="31">
        <f>IFERROR(IF('EQUIPE A 3'!L24=0,VLOOKUP('EQUIPE A 3'!B6&amp;'EQUIPE A 3'!B11,'LISTE JOUEURS'!$P:$U,6,0),VLOOKUP('EQUIPE A 3'!N6&amp;'EQUIPE A 3'!P9,'LISTE JOUEURS'!$P:$U,6,0)),0)</f>
        <v>0</v>
      </c>
      <c r="BB19" t="e">
        <f>+_xlfn.XLOOKUP(BA19,'LISTE JOUEURS'!$U:$U,'LISTE JOUEURS'!$Q:$Q)&amp;" "&amp;_xlfn.XLOOKUP(BA19,'LISTE JOUEURS'!$U:$U,'LISTE JOUEURS'!$R:$R)</f>
        <v>#N/A</v>
      </c>
      <c r="BD19" t="s">
        <v>416</v>
      </c>
      <c r="BF19" t="s">
        <v>136</v>
      </c>
    </row>
    <row r="20" spans="1:58" ht="16" x14ac:dyDescent="0.2">
      <c r="A20" s="400"/>
      <c r="B20" s="402"/>
      <c r="C20" s="402"/>
      <c r="D20" s="402"/>
      <c r="E20" s="236"/>
      <c r="F20" s="221" t="str">
        <f>C10</f>
        <v xml:space="preserve"> </v>
      </c>
      <c r="G20" s="220"/>
      <c r="H20" s="220"/>
      <c r="I20" s="220"/>
      <c r="J20" s="220"/>
      <c r="K20" s="220"/>
      <c r="L20" s="237" t="str">
        <f t="shared" ref="L20:L25" si="8">IF(ISNUMBER(A20),IF(OR(COUNTIF(A20:E20,"&gt;=0")&gt;3,COUNTIF(A20:E20,"&lt;0")&gt;3),"",IF((COUNTIF(A20:E20,"&gt;=0")-COUNTIF(A20:E20,"&lt;0"))&lt;0,0,1)),IF(OR(F20="Forfait W.O.",A20=-88,A20=-99),0,IF(OR(O20="Forfait W.O.",A20=99,A20=88),1,"")))</f>
        <v/>
      </c>
      <c r="M20" s="238" t="s">
        <v>10</v>
      </c>
      <c r="N20" s="237" t="str">
        <f t="shared" ref="N20:N25" si="9">IF(AND(ISNUMBER(A20),ISNUMBER(L20)),1-L20,IF(O20="Forfait W.O.",0,IF(F20="Forfait W.O.",1,"")))</f>
        <v/>
      </c>
      <c r="O20" s="221" t="str">
        <f>Q9</f>
        <v xml:space="preserve"> </v>
      </c>
      <c r="P20" s="221"/>
      <c r="Q20" s="220"/>
      <c r="R20" s="220"/>
      <c r="S20" s="220"/>
      <c r="T20" s="240"/>
      <c r="U20" s="221" t="str">
        <f t="shared" si="5"/>
        <v xml:space="preserve"> </v>
      </c>
      <c r="V20" s="220"/>
      <c r="W20" s="220"/>
      <c r="X20" s="221"/>
      <c r="Y20" s="221"/>
      <c r="Z20" s="221"/>
      <c r="AA20" s="224"/>
      <c r="AB20" s="47"/>
      <c r="AC20" s="397" t="s">
        <v>794</v>
      </c>
      <c r="AD20" s="200" t="s">
        <v>641</v>
      </c>
      <c r="AE20" s="205">
        <v>1</v>
      </c>
      <c r="AF20" s="200" t="s">
        <v>1643</v>
      </c>
      <c r="AI20">
        <f t="shared" si="1"/>
        <v>0</v>
      </c>
      <c r="AJ20">
        <f t="shared" si="1"/>
        <v>0</v>
      </c>
      <c r="AK20">
        <f t="shared" si="1"/>
        <v>0</v>
      </c>
      <c r="AL20">
        <f t="shared" si="1"/>
        <v>0</v>
      </c>
      <c r="AM20">
        <f t="shared" si="1"/>
        <v>0</v>
      </c>
      <c r="AN20" s="3">
        <f t="shared" si="6"/>
        <v>0</v>
      </c>
      <c r="AO20" s="3">
        <f t="shared" si="2"/>
        <v>0</v>
      </c>
      <c r="AP20" s="3">
        <f t="shared" si="2"/>
        <v>0</v>
      </c>
      <c r="AQ20" s="3">
        <f t="shared" si="2"/>
        <v>0</v>
      </c>
      <c r="AR20" s="3">
        <f t="shared" si="2"/>
        <v>0</v>
      </c>
      <c r="AS20" s="202">
        <f t="shared" si="7"/>
        <v>0</v>
      </c>
      <c r="AT20" s="202">
        <f t="shared" si="3"/>
        <v>0</v>
      </c>
      <c r="AU20" s="202">
        <f t="shared" si="3"/>
        <v>0</v>
      </c>
      <c r="AV20" s="202">
        <f t="shared" si="3"/>
        <v>0</v>
      </c>
      <c r="AW20" s="202">
        <f t="shared" si="3"/>
        <v>0</v>
      </c>
      <c r="AY20" s="29" t="s">
        <v>32</v>
      </c>
      <c r="AZ20" s="35" t="str">
        <f>'EQUIPE A 3'!$D$2</f>
        <v/>
      </c>
      <c r="BA20" s="31">
        <f>IFERROR(IF('EQUIPE A 3'!L25=1,VLOOKUP('EQUIPE A 3'!B6&amp;'EQUIPE A 3'!B9,'LISTE JOUEURS'!$P:$U,6,0),VLOOKUP('EQUIPE A 3'!N6&amp;'EQUIPE A 3'!P10,'LISTE JOUEURS'!$P:$U,6,0)),0)</f>
        <v>0</v>
      </c>
      <c r="BB20" t="e">
        <f>+_xlfn.XLOOKUP(BA20,'LISTE JOUEURS'!$U:$U,'LISTE JOUEURS'!$Q:$Q)&amp;" "&amp;_xlfn.XLOOKUP(BA20,'LISTE JOUEURS'!$U:$U,'LISTE JOUEURS'!$R:$R)</f>
        <v>#N/A</v>
      </c>
      <c r="BD20" t="s">
        <v>528</v>
      </c>
      <c r="BF20" t="s">
        <v>650</v>
      </c>
    </row>
    <row r="21" spans="1:58" ht="17" thickBot="1" x14ac:dyDescent="0.25">
      <c r="A21" s="400"/>
      <c r="B21" s="402"/>
      <c r="C21" s="402"/>
      <c r="D21" s="402"/>
      <c r="E21" s="236"/>
      <c r="F21" s="221" t="str">
        <f>C9</f>
        <v xml:space="preserve"> </v>
      </c>
      <c r="G21" s="220"/>
      <c r="H21" s="220"/>
      <c r="I21" s="220"/>
      <c r="J21" s="220"/>
      <c r="K21" s="220"/>
      <c r="L21" s="237" t="str">
        <f t="shared" si="8"/>
        <v/>
      </c>
      <c r="M21" s="238" t="s">
        <v>264</v>
      </c>
      <c r="N21" s="237" t="str">
        <f t="shared" si="9"/>
        <v/>
      </c>
      <c r="O21" s="221" t="str">
        <f>Q11</f>
        <v xml:space="preserve"> </v>
      </c>
      <c r="P21" s="221"/>
      <c r="Q21" s="220"/>
      <c r="R21" s="220"/>
      <c r="S21" s="220"/>
      <c r="T21" s="239"/>
      <c r="U21" s="221" t="str">
        <f t="shared" si="5"/>
        <v xml:space="preserve"> </v>
      </c>
      <c r="V21" s="221"/>
      <c r="W21" s="221"/>
      <c r="X21" s="221"/>
      <c r="Y21" s="221"/>
      <c r="Z21" s="221"/>
      <c r="AA21" s="224"/>
      <c r="AB21" s="47"/>
      <c r="AC21" s="397" t="s">
        <v>493</v>
      </c>
      <c r="AD21" s="200" t="s">
        <v>312</v>
      </c>
      <c r="AE21" s="205">
        <v>2</v>
      </c>
      <c r="AF21" s="200" t="s">
        <v>1856</v>
      </c>
      <c r="AI21">
        <f t="shared" ref="AI21:AI24" si="10">IF(A21&gt;0,1,IF(A21&lt;0,-1,0))</f>
        <v>0</v>
      </c>
      <c r="AJ21">
        <f t="shared" ref="AJ21:AJ24" si="11">IF(B21&gt;0,1,IF(B21&lt;0,-1,0))</f>
        <v>0</v>
      </c>
      <c r="AK21">
        <f t="shared" ref="AK21:AK24" si="12">IF(C21&gt;0,1,IF(C21&lt;0,-1,0))</f>
        <v>0</v>
      </c>
      <c r="AL21">
        <f t="shared" ref="AL21:AL24" si="13">IF(D21&gt;0,1,IF(D21&lt;0,-1,0))</f>
        <v>0</v>
      </c>
      <c r="AM21">
        <f t="shared" ref="AM21:AM24" si="14">IF(E21&gt;0,1,IF(E21&lt;0,-1,0))</f>
        <v>0</v>
      </c>
      <c r="AN21" s="3">
        <f t="shared" ref="AN21:AN25" si="15">IF(AND(A21&gt;0,A21&lt;10),11,IF(AND(A21&gt;0,A21&gt;9),A21+2,IF(AND(A21&lt;0,A21&gt;-10),-11,IF(AND(A21&lt;0,A21&lt;-9),A21-2,0))))</f>
        <v>0</v>
      </c>
      <c r="AO21" s="3">
        <f t="shared" ref="AO21:AO25" si="16">IF(AND(B21&gt;0,B21&lt;10),11,IF(AND(B21&gt;0,B21&gt;9),B21+2,IF(AND(B21&lt;0,B21&gt;-10),-11,IF(AND(B21&lt;0,B21&lt;-9),B21-2,0))))</f>
        <v>0</v>
      </c>
      <c r="AP21" s="3">
        <f t="shared" ref="AP21:AP25" si="17">IF(AND(C21&gt;0,C21&lt;10),11,IF(AND(C21&gt;0,C21&gt;9),C21+2,IF(AND(C21&lt;0,C21&gt;-10),-11,IF(AND(C21&lt;0,C21&lt;-9),C21-2,0))))</f>
        <v>0</v>
      </c>
      <c r="AQ21" s="3">
        <f t="shared" ref="AQ21:AQ25" si="18">IF(AND(D21&gt;0,D21&lt;10),11,IF(AND(D21&gt;0,D21&gt;9),D21+2,IF(AND(D21&lt;0,D21&gt;-10),-11,IF(AND(D21&lt;0,D21&lt;-9),D21-2,0))))</f>
        <v>0</v>
      </c>
      <c r="AR21" s="3">
        <f t="shared" ref="AR21:AR25" si="19">IF(AND(E21&gt;0,E21&lt;10),11,IF(AND(E21&gt;0,E21&gt;9),E21+2,IF(AND(E21&lt;0,E21&gt;-10),-11,IF(AND(E21&lt;0,E21&lt;-9),E21-2,0))))</f>
        <v>0</v>
      </c>
      <c r="AS21" s="202">
        <f t="shared" ref="AS21:AS25" si="20">-A21</f>
        <v>0</v>
      </c>
      <c r="AT21" s="202">
        <f t="shared" ref="AT21:AT25" si="21">-B21</f>
        <v>0</v>
      </c>
      <c r="AU21" s="202">
        <f t="shared" ref="AU21:AU25" si="22">-C21</f>
        <v>0</v>
      </c>
      <c r="AV21" s="202">
        <f t="shared" ref="AV21:AV25" si="23">-D21</f>
        <v>0</v>
      </c>
      <c r="AW21" s="202">
        <f t="shared" ref="AW21:AW25" si="24">-E21</f>
        <v>0</v>
      </c>
      <c r="AX21"/>
      <c r="AY21" s="32" t="s">
        <v>33</v>
      </c>
      <c r="AZ21" s="39" t="str">
        <f>'EQUIPE A 3'!$D$2</f>
        <v/>
      </c>
      <c r="BA21" s="34">
        <f>IFERROR(IF('EQUIPE A 3'!L25=0,VLOOKUP('EQUIPE A 3'!B6&amp;'EQUIPE A 3'!B9,'LISTE JOUEURS'!$P:$U,6,0),VLOOKUP('EQUIPE A 3'!N6&amp;'EQUIPE A 3'!P10,'LISTE JOUEURS'!$P:$U,6,0)),0)</f>
        <v>0</v>
      </c>
      <c r="BB21" t="e">
        <f>+_xlfn.XLOOKUP(BA21,'LISTE JOUEURS'!$U:$U,'LISTE JOUEURS'!$Q:$Q)&amp;" "&amp;_xlfn.XLOOKUP(BA21,'LISTE JOUEURS'!$U:$U,'LISTE JOUEURS'!$R:$R)</f>
        <v>#N/A</v>
      </c>
      <c r="BF21" t="s">
        <v>148</v>
      </c>
    </row>
    <row r="22" spans="1:58" ht="16" x14ac:dyDescent="0.2">
      <c r="A22" s="400"/>
      <c r="B22" s="402"/>
      <c r="C22" s="402"/>
      <c r="D22" s="402"/>
      <c r="E22" s="236"/>
      <c r="F22" s="221" t="str">
        <f>C11</f>
        <v xml:space="preserve"> </v>
      </c>
      <c r="G22" s="220"/>
      <c r="H22" s="220"/>
      <c r="I22" s="220"/>
      <c r="J22" s="220"/>
      <c r="K22" s="220"/>
      <c r="L22" s="237" t="str">
        <f t="shared" si="8"/>
        <v/>
      </c>
      <c r="M22" s="238" t="s">
        <v>265</v>
      </c>
      <c r="N22" s="237" t="str">
        <f t="shared" si="9"/>
        <v/>
      </c>
      <c r="O22" s="221" t="str">
        <f>Q10</f>
        <v xml:space="preserve"> </v>
      </c>
      <c r="P22" s="221"/>
      <c r="Q22" s="220"/>
      <c r="R22" s="220"/>
      <c r="S22" s="220"/>
      <c r="T22" s="239"/>
      <c r="U22" s="221" t="str">
        <f t="shared" si="5"/>
        <v xml:space="preserve"> </v>
      </c>
      <c r="V22" s="221"/>
      <c r="W22" s="221"/>
      <c r="X22" s="221"/>
      <c r="Y22" s="221"/>
      <c r="Z22" s="221"/>
      <c r="AA22" s="224"/>
      <c r="AB22" s="47"/>
      <c r="AC22" s="397" t="s">
        <v>1751</v>
      </c>
      <c r="AD22" s="200" t="s">
        <v>292</v>
      </c>
      <c r="AE22" s="205">
        <v>3</v>
      </c>
      <c r="AF22" s="200" t="s">
        <v>1643</v>
      </c>
      <c r="AI22">
        <f t="shared" si="10"/>
        <v>0</v>
      </c>
      <c r="AJ22">
        <f t="shared" si="11"/>
        <v>0</v>
      </c>
      <c r="AK22">
        <f t="shared" si="12"/>
        <v>0</v>
      </c>
      <c r="AL22">
        <f t="shared" si="13"/>
        <v>0</v>
      </c>
      <c r="AM22">
        <f t="shared" si="14"/>
        <v>0</v>
      </c>
      <c r="AN22" s="3">
        <f t="shared" si="15"/>
        <v>0</v>
      </c>
      <c r="AO22" s="3">
        <f t="shared" si="16"/>
        <v>0</v>
      </c>
      <c r="AP22" s="3">
        <f t="shared" si="17"/>
        <v>0</v>
      </c>
      <c r="AQ22" s="3">
        <f t="shared" si="18"/>
        <v>0</v>
      </c>
      <c r="AR22" s="3">
        <f t="shared" si="19"/>
        <v>0</v>
      </c>
      <c r="AS22" s="202">
        <f t="shared" si="20"/>
        <v>0</v>
      </c>
      <c r="AT22" s="202">
        <f t="shared" si="21"/>
        <v>0</v>
      </c>
      <c r="AU22" s="202">
        <f t="shared" si="22"/>
        <v>0</v>
      </c>
      <c r="AV22" s="202">
        <f t="shared" si="23"/>
        <v>0</v>
      </c>
      <c r="AW22" s="202">
        <f t="shared" si="24"/>
        <v>0</v>
      </c>
      <c r="BF22" t="s">
        <v>150</v>
      </c>
    </row>
    <row r="23" spans="1:58" ht="16" x14ac:dyDescent="0.2">
      <c r="A23" s="400"/>
      <c r="B23" s="402"/>
      <c r="C23" s="402"/>
      <c r="D23" s="402"/>
      <c r="E23" s="236"/>
      <c r="F23" s="221" t="str">
        <f>C10</f>
        <v xml:space="preserve"> </v>
      </c>
      <c r="G23" s="220"/>
      <c r="H23" s="220"/>
      <c r="I23" s="220"/>
      <c r="J23" s="220"/>
      <c r="K23" s="220"/>
      <c r="L23" s="237" t="str">
        <f t="shared" si="8"/>
        <v/>
      </c>
      <c r="M23" s="238" t="s">
        <v>266</v>
      </c>
      <c r="N23" s="237" t="str">
        <f t="shared" si="9"/>
        <v/>
      </c>
      <c r="O23" s="221" t="str">
        <f>Q11</f>
        <v xml:space="preserve"> </v>
      </c>
      <c r="P23" s="221"/>
      <c r="Q23" s="220"/>
      <c r="R23" s="220"/>
      <c r="S23" s="220"/>
      <c r="T23" s="239"/>
      <c r="U23" s="221" t="str">
        <f t="shared" si="5"/>
        <v xml:space="preserve"> </v>
      </c>
      <c r="V23" s="221"/>
      <c r="W23" s="221"/>
      <c r="X23" s="221"/>
      <c r="Y23" s="221"/>
      <c r="Z23" s="221"/>
      <c r="AA23" s="224"/>
      <c r="AC23" s="397" t="s">
        <v>1948</v>
      </c>
      <c r="AD23" s="200" t="s">
        <v>661</v>
      </c>
      <c r="AE23" s="205">
        <v>5</v>
      </c>
      <c r="AF23" s="200" t="s">
        <v>1643</v>
      </c>
      <c r="AI23">
        <f t="shared" si="10"/>
        <v>0</v>
      </c>
      <c r="AJ23">
        <f t="shared" si="11"/>
        <v>0</v>
      </c>
      <c r="AK23">
        <f t="shared" si="12"/>
        <v>0</v>
      </c>
      <c r="AL23">
        <f t="shared" si="13"/>
        <v>0</v>
      </c>
      <c r="AM23">
        <f t="shared" si="14"/>
        <v>0</v>
      </c>
      <c r="AN23" s="3">
        <f t="shared" si="15"/>
        <v>0</v>
      </c>
      <c r="AO23" s="3">
        <f t="shared" si="16"/>
        <v>0</v>
      </c>
      <c r="AP23" s="3">
        <f t="shared" si="17"/>
        <v>0</v>
      </c>
      <c r="AQ23" s="3">
        <f t="shared" si="18"/>
        <v>0</v>
      </c>
      <c r="AR23" s="3">
        <f t="shared" si="19"/>
        <v>0</v>
      </c>
      <c r="AS23" s="202">
        <f t="shared" si="20"/>
        <v>0</v>
      </c>
      <c r="AT23" s="202">
        <f t="shared" si="21"/>
        <v>0</v>
      </c>
      <c r="AU23" s="202">
        <f t="shared" si="22"/>
        <v>0</v>
      </c>
      <c r="AV23" s="202">
        <f t="shared" si="23"/>
        <v>0</v>
      </c>
      <c r="AW23" s="202">
        <f t="shared" si="24"/>
        <v>0</v>
      </c>
      <c r="AX23"/>
      <c r="BF23" t="s">
        <v>137</v>
      </c>
    </row>
    <row r="24" spans="1:58" ht="16" x14ac:dyDescent="0.2">
      <c r="A24" s="400"/>
      <c r="B24" s="402"/>
      <c r="C24" s="402"/>
      <c r="D24" s="402"/>
      <c r="E24" s="236"/>
      <c r="F24" s="221" t="str">
        <f>C11</f>
        <v xml:space="preserve"> </v>
      </c>
      <c r="G24" s="220"/>
      <c r="H24" s="220"/>
      <c r="I24" s="220"/>
      <c r="J24" s="220"/>
      <c r="K24" s="220"/>
      <c r="L24" s="237" t="str">
        <f t="shared" si="8"/>
        <v/>
      </c>
      <c r="M24" s="238" t="s">
        <v>267</v>
      </c>
      <c r="N24" s="237" t="str">
        <f t="shared" si="9"/>
        <v/>
      </c>
      <c r="O24" s="221" t="str">
        <f>Q9</f>
        <v xml:space="preserve"> </v>
      </c>
      <c r="P24" s="221"/>
      <c r="Q24" s="220"/>
      <c r="R24" s="220"/>
      <c r="S24" s="220"/>
      <c r="T24" s="239"/>
      <c r="U24" s="221" t="str">
        <f t="shared" si="5"/>
        <v xml:space="preserve"> </v>
      </c>
      <c r="V24" s="221"/>
      <c r="W24" s="221"/>
      <c r="X24" s="221"/>
      <c r="Y24" s="221"/>
      <c r="Z24" s="221"/>
      <c r="AA24" s="224"/>
      <c r="AC24" s="397" t="s">
        <v>1168</v>
      </c>
      <c r="AD24" s="200" t="s">
        <v>1944</v>
      </c>
      <c r="AE24" s="205">
        <v>6</v>
      </c>
      <c r="AF24" s="200" t="s">
        <v>1643</v>
      </c>
      <c r="AI24">
        <f t="shared" si="10"/>
        <v>0</v>
      </c>
      <c r="AJ24">
        <f t="shared" si="11"/>
        <v>0</v>
      </c>
      <c r="AK24">
        <f t="shared" si="12"/>
        <v>0</v>
      </c>
      <c r="AL24">
        <f t="shared" si="13"/>
        <v>0</v>
      </c>
      <c r="AM24">
        <f t="shared" si="14"/>
        <v>0</v>
      </c>
      <c r="AN24" s="3">
        <f t="shared" si="15"/>
        <v>0</v>
      </c>
      <c r="AO24" s="3">
        <f t="shared" si="16"/>
        <v>0</v>
      </c>
      <c r="AP24" s="3">
        <f t="shared" si="17"/>
        <v>0</v>
      </c>
      <c r="AQ24" s="3">
        <f t="shared" si="18"/>
        <v>0</v>
      </c>
      <c r="AR24" s="3">
        <f t="shared" si="19"/>
        <v>0</v>
      </c>
      <c r="AS24" s="202">
        <f t="shared" si="20"/>
        <v>0</v>
      </c>
      <c r="AT24" s="202">
        <f t="shared" si="21"/>
        <v>0</v>
      </c>
      <c r="AU24" s="202">
        <f t="shared" si="22"/>
        <v>0</v>
      </c>
      <c r="AV24" s="202">
        <f t="shared" si="23"/>
        <v>0</v>
      </c>
      <c r="AW24" s="202">
        <f t="shared" si="24"/>
        <v>0</v>
      </c>
      <c r="AX24"/>
      <c r="BF24" t="s">
        <v>140</v>
      </c>
    </row>
    <row r="25" spans="1:58" ht="17" thickBot="1" x14ac:dyDescent="0.25">
      <c r="A25" s="401"/>
      <c r="B25" s="403"/>
      <c r="C25" s="403"/>
      <c r="D25" s="405"/>
      <c r="E25" s="241"/>
      <c r="F25" s="228" t="str">
        <f>C9</f>
        <v xml:space="preserve"> </v>
      </c>
      <c r="G25" s="227"/>
      <c r="H25" s="227"/>
      <c r="I25" s="227"/>
      <c r="J25" s="227"/>
      <c r="K25" s="227"/>
      <c r="L25" s="242" t="str">
        <f t="shared" si="8"/>
        <v/>
      </c>
      <c r="M25" s="243" t="s">
        <v>11</v>
      </c>
      <c r="N25" s="242" t="str">
        <f t="shared" si="9"/>
        <v/>
      </c>
      <c r="O25" s="228" t="str">
        <f>Q10</f>
        <v xml:space="preserve"> </v>
      </c>
      <c r="P25" s="228"/>
      <c r="Q25" s="227"/>
      <c r="R25" s="227"/>
      <c r="S25" s="227"/>
      <c r="T25" s="244"/>
      <c r="U25" s="228" t="str">
        <f t="shared" si="5"/>
        <v xml:space="preserve"> </v>
      </c>
      <c r="V25" s="228"/>
      <c r="W25" s="228"/>
      <c r="X25" s="228"/>
      <c r="Y25" s="228"/>
      <c r="Z25" s="228"/>
      <c r="AA25" s="231"/>
      <c r="AC25" s="397" t="s">
        <v>610</v>
      </c>
      <c r="AD25" s="200" t="s">
        <v>309</v>
      </c>
      <c r="AE25" s="205">
        <v>7</v>
      </c>
      <c r="AF25" s="200" t="s">
        <v>1856</v>
      </c>
      <c r="AI25">
        <f>IF(A25&gt;0,1,IF(A25&lt;0,-1,0))</f>
        <v>0</v>
      </c>
      <c r="AJ25">
        <f>IF(B25&gt;0,1,IF(B25&lt;0,-1,0))</f>
        <v>0</v>
      </c>
      <c r="AK25">
        <f>IF(C25&gt;0,1,IF(C25&lt;0,-1,0))</f>
        <v>0</v>
      </c>
      <c r="AL25">
        <f>IF(D25&gt;0,1,IF(D25&lt;0,-1,0))</f>
        <v>0</v>
      </c>
      <c r="AM25">
        <f>IF(E25&gt;0,1,IF(E25&lt;0,-1,0))</f>
        <v>0</v>
      </c>
      <c r="AN25" s="3">
        <f t="shared" si="15"/>
        <v>0</v>
      </c>
      <c r="AO25" s="3">
        <f t="shared" si="16"/>
        <v>0</v>
      </c>
      <c r="AP25" s="3">
        <f t="shared" si="17"/>
        <v>0</v>
      </c>
      <c r="AQ25" s="3">
        <f t="shared" si="18"/>
        <v>0</v>
      </c>
      <c r="AR25" s="3">
        <f t="shared" si="19"/>
        <v>0</v>
      </c>
      <c r="AS25" s="202">
        <f t="shared" si="20"/>
        <v>0</v>
      </c>
      <c r="AT25" s="202">
        <f t="shared" si="21"/>
        <v>0</v>
      </c>
      <c r="AU25" s="202">
        <f t="shared" si="22"/>
        <v>0</v>
      </c>
      <c r="AV25" s="202">
        <f t="shared" si="23"/>
        <v>0</v>
      </c>
      <c r="AW25" s="202">
        <f t="shared" si="24"/>
        <v>0</v>
      </c>
      <c r="AX25"/>
      <c r="BC25" t="s">
        <v>384</v>
      </c>
      <c r="BD25">
        <v>1</v>
      </c>
      <c r="BF25" t="s">
        <v>151</v>
      </c>
    </row>
    <row r="26" spans="1:58" thickTop="1" x14ac:dyDescent="0.25">
      <c r="A26" s="27"/>
      <c r="B26" s="27"/>
      <c r="C26" s="27"/>
      <c r="D26" s="27"/>
      <c r="E26" s="27"/>
      <c r="F26" s="27"/>
      <c r="G26" s="27"/>
      <c r="H26" s="27"/>
      <c r="I26" s="27"/>
      <c r="J26" s="46" t="s">
        <v>522</v>
      </c>
      <c r="K26" s="27"/>
      <c r="L26" s="77">
        <f>SUM(L16:L25)</f>
        <v>0</v>
      </c>
      <c r="M26" s="27"/>
      <c r="N26" s="77">
        <f>SUM(N16:N25)</f>
        <v>0</v>
      </c>
      <c r="P26" s="27"/>
      <c r="U26" s="27"/>
      <c r="AC26" s="397" t="s">
        <v>1942</v>
      </c>
      <c r="AD26" s="200" t="s">
        <v>1271</v>
      </c>
      <c r="AE26" s="205">
        <v>8</v>
      </c>
      <c r="AF26" s="200" t="s">
        <v>1643</v>
      </c>
      <c r="AV26"/>
      <c r="AW26"/>
      <c r="AX26"/>
      <c r="BD26">
        <v>2</v>
      </c>
    </row>
    <row r="27" spans="1:58" ht="17" thickBot="1" x14ac:dyDescent="0.25">
      <c r="A27" s="457"/>
      <c r="B27" s="457"/>
      <c r="C27" s="457"/>
      <c r="D27" s="457"/>
      <c r="E27" s="457"/>
      <c r="F27" s="457"/>
      <c r="G27" s="457"/>
      <c r="H27" s="457"/>
      <c r="I27" s="457"/>
      <c r="J27" s="457"/>
      <c r="K27" s="457"/>
      <c r="L27" s="457"/>
      <c r="M27" s="457"/>
      <c r="N27" s="457"/>
      <c r="O27" s="457"/>
      <c r="P27" s="457"/>
      <c r="Q27" s="457"/>
      <c r="R27" s="457"/>
      <c r="S27" s="457"/>
      <c r="T27" s="457"/>
      <c r="U27" s="457"/>
      <c r="V27" s="457"/>
      <c r="W27" s="457"/>
      <c r="X27" s="457"/>
      <c r="Y27" s="457"/>
      <c r="Z27" s="457"/>
      <c r="AA27" s="457"/>
      <c r="AC27" s="397" t="s">
        <v>656</v>
      </c>
      <c r="AD27" s="200" t="s">
        <v>662</v>
      </c>
      <c r="AE27" s="205">
        <v>9</v>
      </c>
      <c r="AF27" s="200" t="s">
        <v>1643</v>
      </c>
      <c r="AJ27" t="str">
        <f>B6&amp;" "&amp;F6</f>
        <v xml:space="preserve"> </v>
      </c>
      <c r="AK27">
        <f>COUNTIF(AI16:AM25,1)</f>
        <v>0</v>
      </c>
      <c r="AL27">
        <f>SUMIF(AN16:AW25,"&gt;0",AN16:AW25)</f>
        <v>0</v>
      </c>
      <c r="AV27"/>
      <c r="AW27"/>
      <c r="AX27"/>
      <c r="BD27">
        <v>3</v>
      </c>
    </row>
    <row r="28" spans="1:58" ht="17" thickTop="1" x14ac:dyDescent="0.2">
      <c r="A28" s="458" t="s">
        <v>369</v>
      </c>
      <c r="B28" s="459"/>
      <c r="C28" s="459"/>
      <c r="D28" s="459"/>
      <c r="E28" s="459"/>
      <c r="F28" s="459"/>
      <c r="G28" s="459"/>
      <c r="H28" s="459"/>
      <c r="I28" s="459"/>
      <c r="J28" s="459"/>
      <c r="K28" s="459"/>
      <c r="L28" s="459"/>
      <c r="M28" s="459"/>
      <c r="N28" s="459"/>
      <c r="O28" s="459"/>
      <c r="P28" s="459"/>
      <c r="Q28" s="459"/>
      <c r="R28" s="459"/>
      <c r="S28" s="459"/>
      <c r="T28" s="459"/>
      <c r="U28" s="459"/>
      <c r="V28" s="459"/>
      <c r="W28" s="459"/>
      <c r="X28" s="459"/>
      <c r="Y28" s="459"/>
      <c r="Z28" s="459"/>
      <c r="AA28" s="460"/>
      <c r="AC28" s="397" t="s">
        <v>749</v>
      </c>
      <c r="AD28" s="200" t="s">
        <v>302</v>
      </c>
      <c r="AE28" s="205">
        <v>10</v>
      </c>
      <c r="AF28" s="200" t="s">
        <v>1643</v>
      </c>
      <c r="AJ28" t="str">
        <f>N6&amp;" "&amp;R6</f>
        <v xml:space="preserve"> </v>
      </c>
      <c r="AK28">
        <f>COUNTIF(AI16:AM25,-1)</f>
        <v>0</v>
      </c>
      <c r="AL28">
        <f>-SUMIF(AN16:AW25,"&lt;0",AN16:AW25)</f>
        <v>0</v>
      </c>
      <c r="AV28"/>
      <c r="AW28"/>
      <c r="AX28"/>
      <c r="BD28">
        <v>4</v>
      </c>
    </row>
    <row r="29" spans="1:58" ht="21" customHeight="1" x14ac:dyDescent="0.25">
      <c r="A29" s="80" t="str">
        <f>IF((L26 )&gt;(N26),B6&amp;" "&amp;F6,N6&amp;" "&amp;R6)</f>
        <v xml:space="preserve"> </v>
      </c>
      <c r="B29" s="10"/>
      <c r="C29" s="373"/>
      <c r="D29" s="373"/>
      <c r="E29" s="374" t="s">
        <v>27</v>
      </c>
      <c r="F29" s="10"/>
      <c r="G29" s="10"/>
      <c r="H29" s="370" t="str">
        <f>IF((L26 )&lt;(N26),B6&amp;" "&amp;F6,N6&amp;" "&amp;R6)</f>
        <v xml:space="preserve"> </v>
      </c>
      <c r="I29" s="10"/>
      <c r="J29" s="81" t="str">
        <f>"Cap. "&amp;O15</f>
        <v xml:space="preserve">Cap.  </v>
      </c>
      <c r="K29" s="207"/>
      <c r="N29" s="449"/>
      <c r="O29" s="436"/>
      <c r="P29" s="436"/>
      <c r="Q29" s="436"/>
      <c r="R29" s="436"/>
      <c r="S29" s="83" t="s">
        <v>127</v>
      </c>
      <c r="T29" s="84"/>
      <c r="U29" s="85"/>
      <c r="V29" s="84"/>
      <c r="W29" s="84"/>
      <c r="X29" s="84"/>
      <c r="AA29" s="55"/>
      <c r="AC29" s="397" t="s">
        <v>503</v>
      </c>
      <c r="AD29" s="200" t="s">
        <v>326</v>
      </c>
      <c r="AE29" s="205">
        <v>11</v>
      </c>
      <c r="AF29" s="200" t="s">
        <v>1643</v>
      </c>
      <c r="AV29"/>
      <c r="AW29"/>
      <c r="AX29"/>
      <c r="BD29">
        <v>5</v>
      </c>
    </row>
    <row r="30" spans="1:58" ht="19" x14ac:dyDescent="0.25">
      <c r="A30" s="80" t="str">
        <f>IF((L26)&gt;(N26),(L26)&amp;" points",(N26)&amp;" points")</f>
        <v>0 points</v>
      </c>
      <c r="C30" s="27"/>
      <c r="D30" s="27"/>
      <c r="G30" s="27"/>
      <c r="H30" s="198" t="str">
        <f>IF((L26 )&gt;(N26),(N26)&amp;" points",(L26)&amp;" points")</f>
        <v>0 points</v>
      </c>
      <c r="I30" s="69"/>
      <c r="J30" s="45" t="str">
        <f>"Cap. "&amp;F15</f>
        <v xml:space="preserve">Cap.  </v>
      </c>
      <c r="N30" s="449"/>
      <c r="O30" s="436"/>
      <c r="P30" s="436"/>
      <c r="Q30" s="436"/>
      <c r="R30" s="436"/>
      <c r="S30" s="450"/>
      <c r="T30" s="451"/>
      <c r="U30" s="451"/>
      <c r="V30" s="451"/>
      <c r="W30" s="451"/>
      <c r="X30" s="451"/>
      <c r="AA30" s="55"/>
      <c r="AC30" s="397" t="s">
        <v>1251</v>
      </c>
      <c r="AD30" s="200" t="s">
        <v>615</v>
      </c>
      <c r="AE30" s="205">
        <v>12</v>
      </c>
      <c r="AF30" s="200" t="s">
        <v>1643</v>
      </c>
      <c r="AV30"/>
      <c r="AW30"/>
      <c r="AX30"/>
      <c r="BD30">
        <v>6</v>
      </c>
    </row>
    <row r="31" spans="1:58" ht="19" x14ac:dyDescent="0.25">
      <c r="A31" s="461" t="str">
        <f>VLOOKUP(A29,$AJ$27:$AL$28,2,0)&amp;" Sets à "&amp;VLOOKUP(H29,$AJ$27:$AL$28,2,0)</f>
        <v>0 Sets à 0</v>
      </c>
      <c r="B31" s="462"/>
      <c r="C31" s="462"/>
      <c r="D31" s="462"/>
      <c r="E31" s="462"/>
      <c r="F31" s="462"/>
      <c r="G31" s="462"/>
      <c r="H31" s="462"/>
      <c r="I31" s="462"/>
      <c r="J31" s="201"/>
      <c r="N31" s="199"/>
      <c r="O31" s="200"/>
      <c r="P31" s="200"/>
      <c r="Q31" s="200"/>
      <c r="R31" s="206"/>
      <c r="S31" s="199"/>
      <c r="T31" s="205"/>
      <c r="U31" s="205"/>
      <c r="V31" s="205"/>
      <c r="W31" s="205"/>
      <c r="X31" s="205"/>
      <c r="AA31" s="55"/>
      <c r="AC31" s="397"/>
      <c r="AD31" s="200" t="s">
        <v>1339</v>
      </c>
      <c r="AE31" s="205">
        <v>13</v>
      </c>
      <c r="AF31" s="200" t="s">
        <v>1643</v>
      </c>
      <c r="AN31" s="3"/>
      <c r="AO31" s="3"/>
      <c r="AP31" s="3"/>
      <c r="AQ31" s="3"/>
      <c r="AR31" s="3"/>
      <c r="AS31" s="3"/>
      <c r="AT31" s="3"/>
      <c r="AV31"/>
      <c r="AW31"/>
    </row>
    <row r="32" spans="1:58" thickBot="1" x14ac:dyDescent="0.3">
      <c r="A32" s="463" t="str">
        <f>VLOOKUP(A29,$AJ$27:$AL$28,3,0)&amp;" points à "&amp;VLOOKUP(H29,$AJ$27:$AL$28,3,0)</f>
        <v>0 points à 0</v>
      </c>
      <c r="B32" s="464"/>
      <c r="C32" s="464"/>
      <c r="D32" s="464"/>
      <c r="E32" s="464"/>
      <c r="F32" s="464"/>
      <c r="G32" s="464"/>
      <c r="H32" s="464"/>
      <c r="I32" s="465"/>
      <c r="J32" s="208"/>
      <c r="K32" s="5"/>
      <c r="L32" s="5"/>
      <c r="M32" s="5"/>
      <c r="N32" s="194"/>
      <c r="O32" s="195"/>
      <c r="P32" s="195"/>
      <c r="Q32" s="195"/>
      <c r="R32" s="197"/>
      <c r="S32" s="194"/>
      <c r="T32" s="196"/>
      <c r="U32" s="196"/>
      <c r="V32" s="196"/>
      <c r="W32" s="196"/>
      <c r="X32" s="196"/>
      <c r="Y32" s="5"/>
      <c r="Z32" s="5"/>
      <c r="AA32" s="53"/>
      <c r="AC32" s="397" t="s">
        <v>594</v>
      </c>
      <c r="AD32" s="200" t="s">
        <v>326</v>
      </c>
      <c r="AE32" s="205">
        <v>14</v>
      </c>
      <c r="AF32" s="200" t="s">
        <v>1643</v>
      </c>
      <c r="AN32" s="3"/>
      <c r="AO32" s="3"/>
      <c r="AP32" s="3"/>
      <c r="AQ32" s="3"/>
      <c r="AR32" s="3"/>
      <c r="AS32" s="3"/>
      <c r="AT32" s="3"/>
      <c r="AU32" s="3"/>
    </row>
    <row r="33" spans="1:56" ht="17" thickTop="1" x14ac:dyDescent="0.2">
      <c r="C33" s="27"/>
      <c r="D33" s="27"/>
      <c r="E33" s="27"/>
      <c r="F33" s="28"/>
      <c r="G33" s="27"/>
      <c r="H33" s="27"/>
      <c r="I33" s="27"/>
      <c r="J33" s="42"/>
      <c r="L33" s="27"/>
      <c r="AC33" s="397"/>
      <c r="AD33" s="200" t="s">
        <v>278</v>
      </c>
      <c r="AE33" s="205">
        <v>15</v>
      </c>
      <c r="AF33" s="200" t="s">
        <v>1643</v>
      </c>
      <c r="AN33" s="3"/>
      <c r="AO33" s="3"/>
      <c r="AP33" s="3"/>
      <c r="AQ33" s="3"/>
      <c r="AR33" s="3"/>
      <c r="AS33" s="3"/>
      <c r="AT33" s="3"/>
      <c r="AU33" s="3"/>
      <c r="BD33">
        <v>7</v>
      </c>
    </row>
    <row r="34" spans="1:56" ht="16" x14ac:dyDescent="0.2">
      <c r="A34" s="45" t="s">
        <v>520</v>
      </c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AC34" s="397" t="s">
        <v>1760</v>
      </c>
      <c r="AD34" s="200" t="s">
        <v>518</v>
      </c>
      <c r="AE34" s="205">
        <v>16</v>
      </c>
      <c r="AF34" s="200" t="s">
        <v>1643</v>
      </c>
      <c r="AV34"/>
      <c r="AW34"/>
      <c r="BD34">
        <v>8</v>
      </c>
    </row>
    <row r="35" spans="1:56" ht="21" customHeight="1" x14ac:dyDescent="0.25">
      <c r="A35" s="45" t="s">
        <v>244</v>
      </c>
      <c r="C35" s="27"/>
      <c r="D35" s="27"/>
      <c r="E35" s="124" t="str">
        <f>IFERROR(VLOOKUP(N6,'LISTING CLUB'!A:C,3,0),"")</f>
        <v/>
      </c>
      <c r="F35" s="27"/>
      <c r="K35" t="s">
        <v>401</v>
      </c>
      <c r="M35" s="27"/>
      <c r="N35" s="27"/>
      <c r="O35" s="177" t="str">
        <f>"3J"&amp;R3&amp;"-"&amp;I3&amp;"-"&amp;N3&amp;"-"&amp;F15&amp;"-"&amp;O15</f>
        <v xml:space="preserve">3J--- - </v>
      </c>
      <c r="AC35" s="397" t="s">
        <v>1259</v>
      </c>
      <c r="AD35" s="200" t="s">
        <v>1343</v>
      </c>
      <c r="AE35" s="205">
        <v>17</v>
      </c>
      <c r="AF35" s="200" t="s">
        <v>1856</v>
      </c>
      <c r="AV35"/>
      <c r="AW35"/>
      <c r="BC35" t="s">
        <v>28</v>
      </c>
      <c r="BD35" t="s">
        <v>385</v>
      </c>
    </row>
    <row r="36" spans="1:56" ht="21" x14ac:dyDescent="0.25">
      <c r="A36" s="452" t="s">
        <v>378</v>
      </c>
      <c r="B36" s="453"/>
      <c r="C36" s="453"/>
      <c r="D36" s="453"/>
      <c r="E36" s="453"/>
      <c r="F36" s="453"/>
      <c r="G36" s="453"/>
      <c r="H36" s="453"/>
      <c r="I36" s="453"/>
      <c r="J36" s="453"/>
      <c r="K36" s="453"/>
      <c r="L36" s="453"/>
      <c r="M36" s="453"/>
      <c r="N36" s="453"/>
      <c r="O36" s="453"/>
      <c r="P36" s="453"/>
      <c r="Q36" s="453"/>
      <c r="R36" s="453"/>
      <c r="S36" s="453"/>
      <c r="T36" s="453"/>
      <c r="U36" s="453"/>
      <c r="V36" s="453"/>
      <c r="W36" s="453"/>
      <c r="X36" s="453"/>
      <c r="Y36" s="453"/>
      <c r="Z36" s="453"/>
      <c r="AA36" s="454"/>
      <c r="AC36" s="397" t="s">
        <v>1262</v>
      </c>
      <c r="AD36" s="200" t="s">
        <v>1346</v>
      </c>
      <c r="AE36" s="205">
        <v>18</v>
      </c>
      <c r="AF36" s="200" t="s">
        <v>1856</v>
      </c>
      <c r="AV36"/>
      <c r="AW36"/>
      <c r="BD36" t="s">
        <v>386</v>
      </c>
    </row>
    <row r="37" spans="1:56" ht="16" x14ac:dyDescent="0.2">
      <c r="C37" s="27"/>
      <c r="D37" s="27"/>
      <c r="E37" s="27"/>
      <c r="M37" s="27"/>
      <c r="AC37" s="397" t="s">
        <v>1248</v>
      </c>
      <c r="AD37" s="200" t="s">
        <v>1336</v>
      </c>
      <c r="AE37" s="205">
        <v>19</v>
      </c>
      <c r="AF37" s="200" t="s">
        <v>1856</v>
      </c>
      <c r="AV37"/>
      <c r="AW37"/>
    </row>
    <row r="38" spans="1:56" ht="16" x14ac:dyDescent="0.2">
      <c r="B38" s="117"/>
      <c r="C38" s="118"/>
      <c r="D38" s="118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AC38" s="397" t="s">
        <v>851</v>
      </c>
      <c r="AD38" s="200" t="s">
        <v>875</v>
      </c>
      <c r="AE38" s="205">
        <v>20</v>
      </c>
      <c r="AF38" s="200" t="s">
        <v>1856</v>
      </c>
      <c r="AV38"/>
      <c r="AW38"/>
    </row>
    <row r="39" spans="1:56" ht="16" x14ac:dyDescent="0.2">
      <c r="B39" s="117"/>
      <c r="C39" s="118"/>
      <c r="D39" s="118"/>
      <c r="E39" s="117"/>
      <c r="F39" s="117"/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AC39" s="397" t="s">
        <v>935</v>
      </c>
      <c r="AD39" s="200" t="s">
        <v>949</v>
      </c>
      <c r="AE39" s="205">
        <v>21</v>
      </c>
      <c r="AF39" s="200" t="s">
        <v>1643</v>
      </c>
      <c r="AV39"/>
      <c r="AW39"/>
    </row>
    <row r="40" spans="1:56" ht="16" x14ac:dyDescent="0.2">
      <c r="B40" s="117"/>
      <c r="C40" s="118"/>
      <c r="D40" s="118"/>
      <c r="E40" s="117"/>
      <c r="F40" s="117"/>
      <c r="G40" s="117"/>
      <c r="H40" s="117"/>
      <c r="I40" s="117"/>
      <c r="J40" s="117"/>
      <c r="K40" s="117"/>
      <c r="L40" s="117"/>
      <c r="M40" s="117"/>
      <c r="N40" s="117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  <c r="Z40" s="117"/>
      <c r="AC40" s="397" t="s">
        <v>1257</v>
      </c>
      <c r="AD40" s="200" t="s">
        <v>1342</v>
      </c>
      <c r="AE40" s="205">
        <v>22</v>
      </c>
      <c r="AF40" s="200" t="s">
        <v>1856</v>
      </c>
      <c r="AV40"/>
      <c r="AW40"/>
    </row>
    <row r="41" spans="1:56" ht="16" x14ac:dyDescent="0.2">
      <c r="B41" s="117"/>
      <c r="C41" s="118"/>
      <c r="D41" s="118"/>
      <c r="E41" s="117"/>
      <c r="F41" s="117"/>
      <c r="G41" s="117"/>
      <c r="H41" s="117"/>
      <c r="I41" s="117"/>
      <c r="J41" s="117"/>
      <c r="K41" s="117"/>
      <c r="L41" s="117"/>
      <c r="M41" s="117"/>
      <c r="N41" s="117"/>
      <c r="O41" s="117"/>
      <c r="P41" s="117"/>
      <c r="Q41" s="117"/>
      <c r="R41" s="117"/>
      <c r="S41" s="117"/>
      <c r="T41" s="117"/>
      <c r="U41" s="117"/>
      <c r="V41" s="117"/>
      <c r="W41" s="117"/>
      <c r="X41" s="117"/>
      <c r="Y41" s="117"/>
      <c r="Z41" s="117"/>
      <c r="AC41" s="397" t="s">
        <v>111</v>
      </c>
      <c r="AD41" s="200" t="s">
        <v>353</v>
      </c>
      <c r="AE41" s="205">
        <v>23</v>
      </c>
      <c r="AF41" s="200" t="s">
        <v>1643</v>
      </c>
      <c r="AV41"/>
      <c r="AW41"/>
    </row>
    <row r="42" spans="1:56" ht="16" x14ac:dyDescent="0.2">
      <c r="B42" s="117"/>
      <c r="C42" s="119"/>
      <c r="D42" s="119"/>
      <c r="E42" s="117"/>
      <c r="F42" s="117"/>
      <c r="G42" s="117"/>
      <c r="H42" s="117"/>
      <c r="I42" s="117"/>
      <c r="J42" s="117"/>
      <c r="K42" s="117"/>
      <c r="L42" s="117"/>
      <c r="M42" s="117"/>
      <c r="N42" s="117"/>
      <c r="O42" s="117"/>
      <c r="P42" s="120"/>
      <c r="Q42" s="120"/>
      <c r="R42" s="117"/>
      <c r="S42" s="117"/>
      <c r="T42" s="117"/>
      <c r="U42" s="117"/>
      <c r="V42" s="117"/>
      <c r="W42" s="117"/>
      <c r="X42" s="117"/>
      <c r="Y42" s="117"/>
      <c r="Z42" s="117"/>
      <c r="AC42" s="397" t="s">
        <v>1623</v>
      </c>
      <c r="AD42" s="200" t="s">
        <v>292</v>
      </c>
      <c r="AE42" s="205">
        <v>24</v>
      </c>
      <c r="AF42" s="200" t="s">
        <v>1643</v>
      </c>
      <c r="AV42"/>
      <c r="AW42"/>
    </row>
    <row r="43" spans="1:56" ht="16" x14ac:dyDescent="0.2">
      <c r="B43" s="117"/>
      <c r="C43" s="121"/>
      <c r="D43" s="117"/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117"/>
      <c r="Q43" s="117"/>
      <c r="R43" s="117"/>
      <c r="S43" s="117"/>
      <c r="T43" s="117"/>
      <c r="U43" s="117"/>
      <c r="V43" s="117"/>
      <c r="W43" s="117"/>
      <c r="X43" s="117"/>
      <c r="Y43" s="117"/>
      <c r="Z43" s="117"/>
      <c r="AC43" s="397" t="s">
        <v>713</v>
      </c>
      <c r="AD43" s="200" t="s">
        <v>317</v>
      </c>
      <c r="AE43" s="205">
        <v>25</v>
      </c>
      <c r="AF43" s="200" t="s">
        <v>1643</v>
      </c>
      <c r="AV43"/>
      <c r="AW43"/>
    </row>
    <row r="44" spans="1:56" ht="16" x14ac:dyDescent="0.2">
      <c r="B44" s="117"/>
      <c r="C44" s="117"/>
      <c r="D44" s="117"/>
      <c r="E44" s="117"/>
      <c r="F44" s="117"/>
      <c r="G44" s="117"/>
      <c r="H44" s="117"/>
      <c r="I44" s="117"/>
      <c r="J44" s="117"/>
      <c r="K44" s="117"/>
      <c r="L44" s="117"/>
      <c r="M44" s="117"/>
      <c r="N44" s="117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C44" s="397"/>
      <c r="AD44" s="200" t="s">
        <v>1094</v>
      </c>
      <c r="AE44" s="205">
        <v>26</v>
      </c>
      <c r="AF44" s="200" t="s">
        <v>1643</v>
      </c>
      <c r="AV44"/>
      <c r="AW44"/>
    </row>
    <row r="45" spans="1:56" ht="16" x14ac:dyDescent="0.2">
      <c r="B45" s="117"/>
      <c r="C45" s="117"/>
      <c r="D45" s="117"/>
      <c r="E45" s="117"/>
      <c r="F45" s="117"/>
      <c r="G45" s="117"/>
      <c r="H45" s="117"/>
      <c r="I45" s="117"/>
      <c r="J45" s="117"/>
      <c r="K45" s="117"/>
      <c r="L45" s="117"/>
      <c r="M45" s="117"/>
      <c r="N45" s="117"/>
      <c r="O45" s="122"/>
      <c r="P45" s="117"/>
      <c r="Q45" s="117"/>
      <c r="R45" s="117"/>
      <c r="S45" s="117"/>
      <c r="T45" s="117"/>
      <c r="U45" s="117"/>
      <c r="V45" s="117"/>
      <c r="W45" s="117"/>
      <c r="X45" s="117"/>
      <c r="Y45" s="117"/>
      <c r="Z45" s="117"/>
      <c r="AC45" s="397" t="s">
        <v>1250</v>
      </c>
      <c r="AD45" s="200" t="s">
        <v>1338</v>
      </c>
      <c r="AE45" s="205">
        <v>27</v>
      </c>
      <c r="AF45" s="200" t="s">
        <v>1643</v>
      </c>
      <c r="AV45"/>
      <c r="AW45"/>
    </row>
    <row r="46" spans="1:56" ht="16" x14ac:dyDescent="0.2">
      <c r="B46" s="117"/>
      <c r="C46" s="117"/>
      <c r="D46" s="117"/>
      <c r="E46" s="117"/>
      <c r="F46" s="117"/>
      <c r="G46" s="117"/>
      <c r="H46" s="117"/>
      <c r="I46" s="117"/>
      <c r="J46" s="117"/>
      <c r="K46" s="117"/>
      <c r="L46" s="117"/>
      <c r="M46" s="117"/>
      <c r="N46" s="117"/>
      <c r="O46" s="117"/>
      <c r="P46" s="117"/>
      <c r="Q46" s="117"/>
      <c r="R46" s="117"/>
      <c r="S46" s="117"/>
      <c r="T46" s="117"/>
      <c r="U46" s="117"/>
      <c r="V46" s="117"/>
      <c r="W46" s="117"/>
      <c r="X46" s="117"/>
      <c r="Y46" s="117"/>
      <c r="Z46" s="117"/>
      <c r="AC46" s="397"/>
      <c r="AD46" s="200" t="s">
        <v>353</v>
      </c>
      <c r="AE46" s="205">
        <v>28</v>
      </c>
      <c r="AF46" s="200" t="s">
        <v>1643</v>
      </c>
      <c r="AV46"/>
      <c r="AW46"/>
    </row>
    <row r="47" spans="1:56" ht="24" x14ac:dyDescent="0.3">
      <c r="G47" s="78"/>
      <c r="H47" s="78"/>
      <c r="I47" s="78"/>
      <c r="J47" s="78"/>
      <c r="K47" s="78"/>
      <c r="L47" s="78"/>
      <c r="M47" s="78"/>
      <c r="N47" s="78"/>
      <c r="AC47" s="397" t="s">
        <v>108</v>
      </c>
      <c r="AD47" s="200" t="s">
        <v>298</v>
      </c>
      <c r="AE47" s="205">
        <v>29</v>
      </c>
      <c r="AF47" s="200" t="s">
        <v>1643</v>
      </c>
      <c r="AV47"/>
      <c r="AW47"/>
    </row>
    <row r="48" spans="1:56" ht="24" x14ac:dyDescent="0.3">
      <c r="A48" s="452" t="s">
        <v>379</v>
      </c>
      <c r="B48" s="453"/>
      <c r="C48" s="453"/>
      <c r="D48" s="453"/>
      <c r="E48" s="453"/>
      <c r="F48" s="453"/>
      <c r="G48" s="453"/>
      <c r="H48" s="453"/>
      <c r="I48" s="453"/>
      <c r="J48" s="453"/>
      <c r="K48" s="453"/>
      <c r="L48" s="453"/>
      <c r="M48" s="453"/>
      <c r="N48" s="453"/>
      <c r="O48" s="453"/>
      <c r="P48" s="453"/>
      <c r="Q48" s="453"/>
      <c r="R48" s="453"/>
      <c r="S48" s="453"/>
      <c r="T48" s="453"/>
      <c r="U48" s="453"/>
      <c r="V48" s="453"/>
      <c r="W48" s="453"/>
      <c r="X48" s="453"/>
      <c r="Y48" s="453"/>
      <c r="Z48" s="453"/>
      <c r="AA48" s="454"/>
      <c r="AC48" s="397" t="s">
        <v>798</v>
      </c>
      <c r="AD48" s="200" t="s">
        <v>804</v>
      </c>
      <c r="AE48" s="205">
        <v>30</v>
      </c>
      <c r="AF48" s="200" t="s">
        <v>1643</v>
      </c>
      <c r="AV48"/>
      <c r="AW48"/>
    </row>
    <row r="49" spans="1:50" ht="16" x14ac:dyDescent="0.2">
      <c r="AC49" s="397" t="s">
        <v>750</v>
      </c>
      <c r="AD49" s="200" t="s">
        <v>319</v>
      </c>
      <c r="AE49" s="205">
        <v>31</v>
      </c>
      <c r="AF49" s="200" t="s">
        <v>1856</v>
      </c>
      <c r="AV49"/>
      <c r="AW49"/>
    </row>
    <row r="50" spans="1:50" ht="16" x14ac:dyDescent="0.2">
      <c r="B50" s="117"/>
      <c r="C50" s="118"/>
      <c r="D50" s="118"/>
      <c r="E50" s="117"/>
      <c r="F50" s="117"/>
      <c r="G50" s="117"/>
      <c r="H50" s="117"/>
      <c r="I50" s="117"/>
      <c r="J50" s="117"/>
      <c r="K50" s="117"/>
      <c r="L50" s="117"/>
      <c r="M50" s="117"/>
      <c r="N50" s="117"/>
      <c r="O50" s="117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C50" s="397" t="s">
        <v>1056</v>
      </c>
      <c r="AD50" s="200" t="s">
        <v>1057</v>
      </c>
      <c r="AE50" s="205">
        <v>32</v>
      </c>
      <c r="AF50" s="200" t="s">
        <v>1643</v>
      </c>
      <c r="AV50"/>
      <c r="AW50"/>
    </row>
    <row r="51" spans="1:50" ht="16" x14ac:dyDescent="0.2">
      <c r="B51" s="117"/>
      <c r="C51" s="118"/>
      <c r="D51" s="118"/>
      <c r="E51" s="117"/>
      <c r="F51" s="117"/>
      <c r="G51" s="117"/>
      <c r="H51" s="117"/>
      <c r="I51" s="117"/>
      <c r="J51" s="117"/>
      <c r="K51" s="117"/>
      <c r="L51" s="117"/>
      <c r="M51" s="117"/>
      <c r="N51" s="117"/>
      <c r="O51" s="117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C51" s="397" t="s">
        <v>634</v>
      </c>
      <c r="AD51" s="200" t="s">
        <v>448</v>
      </c>
      <c r="AE51" s="205">
        <v>33</v>
      </c>
      <c r="AF51" s="200" t="s">
        <v>1643</v>
      </c>
      <c r="AV51"/>
      <c r="AW51"/>
    </row>
    <row r="52" spans="1:50" ht="16" x14ac:dyDescent="0.2">
      <c r="B52" s="117"/>
      <c r="C52" s="118"/>
      <c r="D52" s="118"/>
      <c r="E52" s="117"/>
      <c r="F52" s="117"/>
      <c r="G52" s="117"/>
      <c r="H52" s="117"/>
      <c r="I52" s="117"/>
      <c r="J52" s="117"/>
      <c r="K52" s="117"/>
      <c r="L52" s="117"/>
      <c r="M52" s="117"/>
      <c r="N52" s="117"/>
      <c r="O52" s="117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C52" s="397" t="s">
        <v>751</v>
      </c>
      <c r="AD52" s="200" t="s">
        <v>769</v>
      </c>
      <c r="AE52" s="205">
        <v>34</v>
      </c>
      <c r="AF52" s="200" t="s">
        <v>1643</v>
      </c>
      <c r="AV52"/>
      <c r="AW52"/>
    </row>
    <row r="53" spans="1:50" ht="16" x14ac:dyDescent="0.2">
      <c r="B53" s="117"/>
      <c r="C53" s="118"/>
      <c r="D53" s="118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C53" s="397" t="s">
        <v>651</v>
      </c>
      <c r="AD53" s="200" t="s">
        <v>1941</v>
      </c>
      <c r="AE53" s="205">
        <v>36</v>
      </c>
      <c r="AF53" s="200" t="s">
        <v>1643</v>
      </c>
      <c r="AV53"/>
      <c r="AW53"/>
    </row>
    <row r="54" spans="1:50" ht="16" x14ac:dyDescent="0.2">
      <c r="B54" s="117"/>
      <c r="C54" s="119"/>
      <c r="D54" s="119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20"/>
      <c r="Q54" s="120"/>
      <c r="R54" s="117"/>
      <c r="S54" s="117"/>
      <c r="T54" s="117"/>
      <c r="U54" s="117"/>
      <c r="V54" s="117"/>
      <c r="W54" s="117"/>
      <c r="X54" s="117"/>
      <c r="Y54" s="117"/>
      <c r="Z54" s="117"/>
      <c r="AC54" s="397"/>
      <c r="AD54" s="200" t="s">
        <v>860</v>
      </c>
      <c r="AE54" s="205">
        <v>35</v>
      </c>
      <c r="AF54" s="200" t="s">
        <v>1643</v>
      </c>
      <c r="AV54"/>
      <c r="AW54"/>
    </row>
    <row r="55" spans="1:50" ht="16" x14ac:dyDescent="0.2">
      <c r="B55" s="117"/>
      <c r="C55" s="121"/>
      <c r="D55" s="117"/>
      <c r="E55" s="117"/>
      <c r="F55" s="117"/>
      <c r="G55" s="117"/>
      <c r="H55" s="117"/>
      <c r="I55" s="117"/>
      <c r="J55" s="117"/>
      <c r="K55" s="117"/>
      <c r="L55" s="117"/>
      <c r="M55" s="117"/>
      <c r="N55" s="117"/>
      <c r="O55" s="117"/>
      <c r="P55" s="117"/>
      <c r="Q55" s="117"/>
      <c r="R55" s="117"/>
      <c r="S55" s="117"/>
      <c r="T55" s="117"/>
      <c r="U55" s="117"/>
      <c r="V55" s="117"/>
      <c r="W55" s="117"/>
      <c r="X55" s="117"/>
      <c r="Y55" s="117"/>
      <c r="Z55" s="117"/>
      <c r="AC55" s="397" t="s">
        <v>1538</v>
      </c>
      <c r="AD55" s="200" t="s">
        <v>1556</v>
      </c>
      <c r="AE55" s="205">
        <v>37</v>
      </c>
      <c r="AF55" s="200" t="s">
        <v>1643</v>
      </c>
      <c r="AV55"/>
      <c r="AW55"/>
    </row>
    <row r="56" spans="1:50" ht="16" x14ac:dyDescent="0.2">
      <c r="B56" s="117"/>
      <c r="C56" s="117"/>
      <c r="D56" s="117"/>
      <c r="E56" s="117"/>
      <c r="F56" s="117"/>
      <c r="G56" s="117"/>
      <c r="H56" s="117"/>
      <c r="I56" s="117"/>
      <c r="J56" s="117"/>
      <c r="K56" s="117"/>
      <c r="L56" s="117"/>
      <c r="M56" s="117"/>
      <c r="N56" s="117"/>
      <c r="O56" s="117"/>
      <c r="P56" s="117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C56" s="397" t="s">
        <v>1540</v>
      </c>
      <c r="AD56" s="200" t="s">
        <v>1558</v>
      </c>
      <c r="AE56" s="205">
        <v>38</v>
      </c>
      <c r="AF56" s="200" t="s">
        <v>1856</v>
      </c>
      <c r="AV56"/>
      <c r="AW56"/>
    </row>
    <row r="57" spans="1:50" ht="16" x14ac:dyDescent="0.2">
      <c r="B57" s="117"/>
      <c r="C57" s="117"/>
      <c r="D57" s="117"/>
      <c r="E57" s="117"/>
      <c r="F57" s="117"/>
      <c r="G57" s="117"/>
      <c r="H57" s="117"/>
      <c r="I57" s="117"/>
      <c r="J57" s="117"/>
      <c r="K57" s="117"/>
      <c r="L57" s="117"/>
      <c r="M57" s="117"/>
      <c r="N57" s="117"/>
      <c r="O57" s="122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  <c r="AC57" s="397" t="s">
        <v>112</v>
      </c>
      <c r="AD57" s="200" t="s">
        <v>357</v>
      </c>
      <c r="AE57" s="205">
        <v>39</v>
      </c>
      <c r="AF57" s="200" t="s">
        <v>1643</v>
      </c>
      <c r="AV57"/>
      <c r="AW57"/>
    </row>
    <row r="58" spans="1:50" ht="16" x14ac:dyDescent="0.2">
      <c r="B58" s="117"/>
      <c r="C58" s="117"/>
      <c r="D58" s="117"/>
      <c r="E58" s="117"/>
      <c r="F58" s="117"/>
      <c r="G58" s="117"/>
      <c r="H58" s="117"/>
      <c r="I58" s="117"/>
      <c r="J58" s="117"/>
      <c r="K58" s="117"/>
      <c r="L58" s="117"/>
      <c r="M58" s="117"/>
      <c r="N58" s="117"/>
      <c r="O58" s="117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C58" s="397" t="s">
        <v>1249</v>
      </c>
      <c r="AD58" s="200" t="s">
        <v>321</v>
      </c>
      <c r="AE58" s="205">
        <v>40</v>
      </c>
      <c r="AF58" s="200" t="s">
        <v>1856</v>
      </c>
      <c r="AV58"/>
      <c r="AW58"/>
    </row>
    <row r="59" spans="1:50" ht="16" x14ac:dyDescent="0.2">
      <c r="G59" s="1"/>
      <c r="H59" s="1"/>
      <c r="I59" s="1"/>
      <c r="J59" s="1"/>
      <c r="K59" s="1"/>
      <c r="L59" s="1"/>
      <c r="M59" s="1"/>
      <c r="N59" s="1"/>
      <c r="AC59" s="397" t="s">
        <v>795</v>
      </c>
      <c r="AD59" s="200" t="s">
        <v>800</v>
      </c>
      <c r="AE59" s="205">
        <v>41</v>
      </c>
      <c r="AF59" s="200" t="s">
        <v>1856</v>
      </c>
      <c r="AV59"/>
      <c r="AW59"/>
    </row>
    <row r="60" spans="1:50" ht="24" x14ac:dyDescent="0.3">
      <c r="A60" s="86" t="s">
        <v>121</v>
      </c>
      <c r="AC60" s="397" t="s">
        <v>939</v>
      </c>
      <c r="AD60" s="200" t="s">
        <v>868</v>
      </c>
      <c r="AE60" s="205">
        <v>42</v>
      </c>
      <c r="AF60" s="200" t="s">
        <v>1643</v>
      </c>
      <c r="AV60"/>
      <c r="AW60"/>
    </row>
    <row r="61" spans="1:50" ht="21" x14ac:dyDescent="0.2">
      <c r="A61" s="6" t="s">
        <v>157</v>
      </c>
      <c r="AC61" s="397" t="s">
        <v>1949</v>
      </c>
      <c r="AD61" s="200" t="s">
        <v>1950</v>
      </c>
      <c r="AE61" s="205">
        <v>43</v>
      </c>
      <c r="AF61" s="200" t="s">
        <v>1643</v>
      </c>
      <c r="AV61"/>
      <c r="AW61"/>
      <c r="AX61" s="26"/>
    </row>
    <row r="62" spans="1:50" ht="16" x14ac:dyDescent="0.2">
      <c r="A62" s="6" t="s">
        <v>122</v>
      </c>
      <c r="AC62" s="397" t="s">
        <v>595</v>
      </c>
      <c r="AD62" s="200" t="s">
        <v>600</v>
      </c>
      <c r="AE62" s="205">
        <v>44</v>
      </c>
      <c r="AF62" s="200" t="s">
        <v>1856</v>
      </c>
      <c r="AV62"/>
      <c r="AW62"/>
    </row>
    <row r="63" spans="1:50" ht="16" x14ac:dyDescent="0.2">
      <c r="A63" s="6" t="s">
        <v>126</v>
      </c>
      <c r="AC63" s="397" t="s">
        <v>1256</v>
      </c>
      <c r="AD63" s="200" t="s">
        <v>1341</v>
      </c>
      <c r="AE63" s="205">
        <v>45</v>
      </c>
      <c r="AF63" s="200" t="s">
        <v>1856</v>
      </c>
      <c r="AV63"/>
      <c r="AW63"/>
    </row>
    <row r="64" spans="1:50" ht="16" x14ac:dyDescent="0.2">
      <c r="A64" s="6" t="s">
        <v>123</v>
      </c>
      <c r="AC64" s="397" t="s">
        <v>1252</v>
      </c>
      <c r="AD64" s="200" t="s">
        <v>297</v>
      </c>
      <c r="AE64" s="205">
        <v>46</v>
      </c>
      <c r="AF64" s="200" t="s">
        <v>1643</v>
      </c>
      <c r="AV64"/>
      <c r="AW64"/>
    </row>
    <row r="65" spans="1:49" ht="16" x14ac:dyDescent="0.2">
      <c r="A65" s="6" t="s">
        <v>124</v>
      </c>
      <c r="AC65" s="397" t="s">
        <v>752</v>
      </c>
      <c r="AD65" s="200" t="s">
        <v>766</v>
      </c>
      <c r="AE65" s="205">
        <v>47</v>
      </c>
      <c r="AF65" s="200" t="s">
        <v>1643</v>
      </c>
      <c r="AV65"/>
      <c r="AW65"/>
    </row>
    <row r="66" spans="1:49" ht="16" x14ac:dyDescent="0.2">
      <c r="A66" s="6" t="s">
        <v>125</v>
      </c>
      <c r="AC66" s="397" t="s">
        <v>1939</v>
      </c>
      <c r="AD66" s="200" t="s">
        <v>1940</v>
      </c>
      <c r="AE66" s="205">
        <v>48</v>
      </c>
      <c r="AF66" s="200" t="s">
        <v>1643</v>
      </c>
      <c r="AV66"/>
      <c r="AW66"/>
    </row>
    <row r="67" spans="1:49" ht="16" x14ac:dyDescent="0.2">
      <c r="AC67" s="397" t="s">
        <v>635</v>
      </c>
      <c r="AD67" s="200" t="s">
        <v>293</v>
      </c>
      <c r="AE67" s="205">
        <v>49</v>
      </c>
      <c r="AF67" s="200" t="s">
        <v>1856</v>
      </c>
      <c r="AV67"/>
      <c r="AW67"/>
    </row>
    <row r="68" spans="1:49" ht="16" x14ac:dyDescent="0.2">
      <c r="G68" s="6"/>
      <c r="H68" s="6"/>
      <c r="I68" s="6"/>
      <c r="J68" s="6"/>
      <c r="K68" s="6"/>
      <c r="L68" s="6"/>
      <c r="M68" s="6"/>
      <c r="N68" s="6"/>
      <c r="AC68" s="397"/>
      <c r="AD68" s="200" t="s">
        <v>576</v>
      </c>
      <c r="AE68" s="205">
        <v>50</v>
      </c>
      <c r="AF68" s="200" t="s">
        <v>1643</v>
      </c>
      <c r="AV68"/>
      <c r="AW68"/>
    </row>
    <row r="69" spans="1:49" ht="16" x14ac:dyDescent="0.2">
      <c r="G69" s="6"/>
      <c r="H69" s="6"/>
      <c r="I69" s="6"/>
      <c r="J69" s="6"/>
      <c r="K69" s="6"/>
      <c r="L69" s="6"/>
      <c r="M69" s="6"/>
      <c r="N69" s="6"/>
      <c r="AC69" s="397"/>
      <c r="AD69" s="200" t="s">
        <v>585</v>
      </c>
      <c r="AE69" s="205">
        <v>51</v>
      </c>
      <c r="AF69" s="200" t="s">
        <v>1643</v>
      </c>
      <c r="AV69"/>
      <c r="AW69"/>
    </row>
    <row r="70" spans="1:49" ht="16" x14ac:dyDescent="0.2">
      <c r="G70" s="6"/>
      <c r="H70" s="6"/>
      <c r="I70" s="6"/>
      <c r="J70" s="6"/>
      <c r="K70" s="6"/>
      <c r="L70" s="6"/>
      <c r="M70" s="6"/>
      <c r="N70" s="6"/>
      <c r="AC70" s="397" t="s">
        <v>1929</v>
      </c>
      <c r="AD70" s="200" t="s">
        <v>1930</v>
      </c>
      <c r="AE70" s="205">
        <v>52</v>
      </c>
      <c r="AF70" s="200" t="s">
        <v>1643</v>
      </c>
      <c r="AV70"/>
      <c r="AW70"/>
    </row>
    <row r="71" spans="1:49" ht="16" x14ac:dyDescent="0.2">
      <c r="G71" s="6"/>
      <c r="H71" s="6"/>
      <c r="I71" s="6"/>
      <c r="J71" s="6"/>
      <c r="K71" s="6"/>
      <c r="L71" s="6"/>
      <c r="M71" s="6"/>
      <c r="N71" s="6"/>
      <c r="AC71" s="397"/>
      <c r="AD71" s="200" t="s">
        <v>1931</v>
      </c>
      <c r="AE71" s="205">
        <v>53</v>
      </c>
      <c r="AF71" s="200" t="s">
        <v>1643</v>
      </c>
      <c r="AV71"/>
      <c r="AW71"/>
    </row>
    <row r="72" spans="1:49" ht="16" x14ac:dyDescent="0.2">
      <c r="G72" s="6"/>
      <c r="H72" s="6"/>
      <c r="I72" s="6"/>
      <c r="J72" s="6"/>
      <c r="K72" s="6"/>
      <c r="L72" s="6"/>
      <c r="M72" s="6"/>
      <c r="N72" s="6"/>
      <c r="AC72" s="397" t="s">
        <v>1255</v>
      </c>
      <c r="AD72" s="200" t="s">
        <v>575</v>
      </c>
      <c r="AE72" s="205">
        <v>54</v>
      </c>
      <c r="AF72" s="200" t="s">
        <v>1643</v>
      </c>
      <c r="AV72"/>
      <c r="AW72"/>
    </row>
    <row r="73" spans="1:49" ht="16" x14ac:dyDescent="0.2">
      <c r="G73" s="6"/>
      <c r="H73" s="6"/>
      <c r="I73" s="6"/>
      <c r="J73" s="6"/>
      <c r="K73" s="6"/>
      <c r="L73" s="6"/>
      <c r="M73" s="6"/>
      <c r="N73" s="6"/>
      <c r="AC73" s="397" t="s">
        <v>106</v>
      </c>
      <c r="AD73" s="200" t="s">
        <v>309</v>
      </c>
      <c r="AE73" s="205">
        <v>56</v>
      </c>
      <c r="AF73" s="200" t="s">
        <v>1643</v>
      </c>
      <c r="AV73"/>
      <c r="AW73"/>
    </row>
    <row r="74" spans="1:49" ht="16" x14ac:dyDescent="0.2">
      <c r="AC74" s="397"/>
      <c r="AD74" s="200" t="s">
        <v>1557</v>
      </c>
      <c r="AE74" s="205">
        <v>55</v>
      </c>
      <c r="AF74" s="200" t="s">
        <v>1856</v>
      </c>
      <c r="AV74"/>
      <c r="AW74"/>
    </row>
    <row r="75" spans="1:49" ht="16" x14ac:dyDescent="0.2">
      <c r="AC75" s="397" t="s">
        <v>714</v>
      </c>
      <c r="AD75" s="200" t="s">
        <v>986</v>
      </c>
      <c r="AE75" s="205">
        <v>58</v>
      </c>
      <c r="AF75" s="200" t="s">
        <v>1643</v>
      </c>
      <c r="AV75"/>
      <c r="AW75"/>
    </row>
    <row r="76" spans="1:49" ht="16" x14ac:dyDescent="0.2">
      <c r="AC76" s="397"/>
      <c r="AD76" s="200" t="s">
        <v>721</v>
      </c>
      <c r="AE76" s="205">
        <v>57</v>
      </c>
      <c r="AF76" s="200" t="s">
        <v>1643</v>
      </c>
      <c r="AV76"/>
      <c r="AW76"/>
    </row>
    <row r="77" spans="1:49" ht="16" x14ac:dyDescent="0.2">
      <c r="AC77" s="397" t="s">
        <v>102</v>
      </c>
      <c r="AD77" s="200" t="s">
        <v>310</v>
      </c>
      <c r="AE77" s="205">
        <v>59</v>
      </c>
      <c r="AF77" s="200" t="s">
        <v>1643</v>
      </c>
      <c r="AV77"/>
      <c r="AW77"/>
    </row>
    <row r="78" spans="1:49" ht="16" x14ac:dyDescent="0.2">
      <c r="AC78" s="397" t="s">
        <v>1541</v>
      </c>
      <c r="AD78" s="200" t="s">
        <v>1559</v>
      </c>
      <c r="AE78" s="205">
        <v>60</v>
      </c>
      <c r="AF78" s="200" t="s">
        <v>1856</v>
      </c>
      <c r="AV78"/>
      <c r="AW78"/>
    </row>
    <row r="79" spans="1:49" ht="16" x14ac:dyDescent="0.2">
      <c r="AC79" s="397" t="s">
        <v>850</v>
      </c>
      <c r="AD79" s="200" t="s">
        <v>874</v>
      </c>
      <c r="AE79" s="205">
        <v>61</v>
      </c>
      <c r="AF79" s="200" t="s">
        <v>1643</v>
      </c>
      <c r="AV79"/>
      <c r="AW79"/>
    </row>
    <row r="80" spans="1:49" ht="16" x14ac:dyDescent="0.2">
      <c r="AC80" s="397" t="s">
        <v>513</v>
      </c>
      <c r="AD80" s="200" t="s">
        <v>284</v>
      </c>
      <c r="AE80" s="205">
        <v>62</v>
      </c>
      <c r="AF80" s="200" t="s">
        <v>1643</v>
      </c>
      <c r="AV80"/>
      <c r="AW80"/>
    </row>
    <row r="81" spans="29:49" ht="16" x14ac:dyDescent="0.2">
      <c r="AC81" s="397" t="s">
        <v>1758</v>
      </c>
      <c r="AD81" s="200" t="s">
        <v>335</v>
      </c>
      <c r="AE81" s="205">
        <v>63</v>
      </c>
      <c r="AF81" s="200" t="s">
        <v>1643</v>
      </c>
      <c r="AV81"/>
      <c r="AW81"/>
    </row>
    <row r="82" spans="29:49" ht="16" x14ac:dyDescent="0.2">
      <c r="AC82" s="397" t="s">
        <v>683</v>
      </c>
      <c r="AD82" s="200" t="s">
        <v>284</v>
      </c>
      <c r="AE82" s="205">
        <v>65</v>
      </c>
      <c r="AF82" s="200" t="s">
        <v>1643</v>
      </c>
      <c r="AV82"/>
      <c r="AW82"/>
    </row>
    <row r="83" spans="29:49" ht="16" x14ac:dyDescent="0.2">
      <c r="AC83" s="397" t="s">
        <v>1531</v>
      </c>
      <c r="AD83" s="200" t="s">
        <v>461</v>
      </c>
      <c r="AE83" s="205">
        <v>64</v>
      </c>
      <c r="AF83" s="200" t="s">
        <v>1643</v>
      </c>
      <c r="AV83"/>
      <c r="AW83"/>
    </row>
    <row r="84" spans="29:49" ht="16" x14ac:dyDescent="0.2">
      <c r="AC84" s="397" t="s">
        <v>1937</v>
      </c>
      <c r="AD84" s="200" t="s">
        <v>1938</v>
      </c>
      <c r="AE84" s="205">
        <v>66</v>
      </c>
      <c r="AF84" s="200" t="s">
        <v>1643</v>
      </c>
      <c r="AV84"/>
      <c r="AW84"/>
    </row>
    <row r="85" spans="29:49" ht="16" x14ac:dyDescent="0.2">
      <c r="AC85" s="397" t="s">
        <v>1927</v>
      </c>
      <c r="AD85" s="200" t="s">
        <v>601</v>
      </c>
      <c r="AE85" s="205">
        <v>68</v>
      </c>
      <c r="AF85" s="200" t="s">
        <v>1643</v>
      </c>
      <c r="AV85"/>
      <c r="AW85"/>
    </row>
    <row r="86" spans="29:49" ht="16" x14ac:dyDescent="0.2">
      <c r="AC86" s="397"/>
      <c r="AD86" s="200" t="s">
        <v>1928</v>
      </c>
      <c r="AE86" s="205">
        <v>67</v>
      </c>
      <c r="AF86" s="200" t="s">
        <v>1643</v>
      </c>
      <c r="AV86"/>
      <c r="AW86"/>
    </row>
    <row r="87" spans="29:49" ht="16" x14ac:dyDescent="0.2">
      <c r="AC87" s="397" t="s">
        <v>453</v>
      </c>
      <c r="AD87" s="200" t="s">
        <v>307</v>
      </c>
      <c r="AE87" s="205">
        <v>69</v>
      </c>
      <c r="AF87" s="200" t="s">
        <v>1643</v>
      </c>
      <c r="AV87"/>
      <c r="AW87"/>
    </row>
    <row r="88" spans="29:49" ht="16" x14ac:dyDescent="0.2">
      <c r="AC88" s="397" t="s">
        <v>1076</v>
      </c>
      <c r="AD88" s="200" t="s">
        <v>804</v>
      </c>
      <c r="AE88" s="205">
        <v>70</v>
      </c>
      <c r="AF88" s="200" t="s">
        <v>1856</v>
      </c>
      <c r="AV88"/>
      <c r="AW88"/>
    </row>
    <row r="89" spans="29:49" ht="16" x14ac:dyDescent="0.2">
      <c r="AC89" s="397" t="s">
        <v>936</v>
      </c>
      <c r="AD89" s="200" t="s">
        <v>584</v>
      </c>
      <c r="AE89" s="205">
        <v>71</v>
      </c>
      <c r="AF89" s="200" t="s">
        <v>1643</v>
      </c>
      <c r="AV89"/>
      <c r="AW89"/>
    </row>
    <row r="90" spans="29:49" ht="16" x14ac:dyDescent="0.2">
      <c r="AC90" s="397" t="s">
        <v>1247</v>
      </c>
      <c r="AD90" s="200" t="s">
        <v>306</v>
      </c>
      <c r="AE90" s="205">
        <v>72</v>
      </c>
      <c r="AF90" s="200" t="s">
        <v>1856</v>
      </c>
      <c r="AV90"/>
      <c r="AW90"/>
    </row>
    <row r="91" spans="29:49" ht="16" x14ac:dyDescent="0.2">
      <c r="AC91" s="397" t="s">
        <v>797</v>
      </c>
      <c r="AD91" s="200" t="s">
        <v>803</v>
      </c>
      <c r="AE91" s="205">
        <v>73</v>
      </c>
      <c r="AF91" s="200" t="s">
        <v>1643</v>
      </c>
      <c r="AV91"/>
      <c r="AW91"/>
    </row>
    <row r="92" spans="29:49" ht="16" x14ac:dyDescent="0.2">
      <c r="AC92" s="397"/>
      <c r="AD92" s="200" t="s">
        <v>802</v>
      </c>
      <c r="AE92" s="205">
        <v>74</v>
      </c>
      <c r="AF92" s="200" t="s">
        <v>1643</v>
      </c>
      <c r="AV92"/>
      <c r="AW92"/>
    </row>
    <row r="93" spans="29:49" ht="16" x14ac:dyDescent="0.2">
      <c r="AC93" s="397" t="s">
        <v>828</v>
      </c>
      <c r="AD93" s="200" t="s">
        <v>722</v>
      </c>
      <c r="AE93" s="205">
        <v>75</v>
      </c>
      <c r="AF93" s="200" t="s">
        <v>1643</v>
      </c>
      <c r="AV93"/>
      <c r="AW93"/>
    </row>
    <row r="94" spans="29:49" ht="16" x14ac:dyDescent="0.2">
      <c r="AC94" s="397" t="s">
        <v>636</v>
      </c>
      <c r="AD94" s="200" t="s">
        <v>293</v>
      </c>
      <c r="AE94" s="205">
        <v>76</v>
      </c>
      <c r="AF94" s="200" t="s">
        <v>1643</v>
      </c>
    </row>
    <row r="95" spans="29:49" ht="16" x14ac:dyDescent="0.2">
      <c r="AC95" s="397" t="s">
        <v>1261</v>
      </c>
      <c r="AD95" s="200" t="s">
        <v>1345</v>
      </c>
      <c r="AE95" s="205">
        <v>77</v>
      </c>
      <c r="AF95" s="200" t="s">
        <v>1643</v>
      </c>
    </row>
    <row r="96" spans="29:49" ht="16" x14ac:dyDescent="0.2">
      <c r="AC96" s="397" t="s">
        <v>715</v>
      </c>
      <c r="AD96" s="200" t="s">
        <v>292</v>
      </c>
      <c r="AE96" s="205">
        <v>78</v>
      </c>
      <c r="AF96" s="200" t="s">
        <v>1643</v>
      </c>
    </row>
    <row r="97" spans="29:32" ht="16" x14ac:dyDescent="0.2">
      <c r="AC97" s="397" t="s">
        <v>101</v>
      </c>
      <c r="AD97" s="200" t="s">
        <v>295</v>
      </c>
      <c r="AE97" s="205">
        <v>79</v>
      </c>
      <c r="AF97" s="200" t="s">
        <v>1643</v>
      </c>
    </row>
    <row r="98" spans="29:32" ht="16" x14ac:dyDescent="0.2">
      <c r="AC98" s="397"/>
      <c r="AD98" s="200" t="s">
        <v>1756</v>
      </c>
      <c r="AE98" s="205">
        <v>80</v>
      </c>
      <c r="AF98" s="200" t="s">
        <v>1643</v>
      </c>
    </row>
    <row r="99" spans="29:32" ht="16" x14ac:dyDescent="0.2">
      <c r="AC99" s="397" t="s">
        <v>104</v>
      </c>
      <c r="AD99" s="200" t="s">
        <v>358</v>
      </c>
      <c r="AE99" s="205">
        <v>81</v>
      </c>
      <c r="AF99" s="200" t="s">
        <v>1856</v>
      </c>
    </row>
    <row r="100" spans="29:32" ht="16" x14ac:dyDescent="0.2">
      <c r="AC100" s="397" t="s">
        <v>1135</v>
      </c>
      <c r="AD100" s="200" t="s">
        <v>279</v>
      </c>
      <c r="AE100" s="205">
        <v>82</v>
      </c>
      <c r="AF100" s="200" t="s">
        <v>1856</v>
      </c>
    </row>
    <row r="101" spans="29:32" ht="16" x14ac:dyDescent="0.2">
      <c r="AC101" s="397" t="s">
        <v>113</v>
      </c>
      <c r="AD101" s="200" t="s">
        <v>284</v>
      </c>
      <c r="AE101" s="205">
        <v>83</v>
      </c>
      <c r="AF101" s="200" t="s">
        <v>1643</v>
      </c>
    </row>
    <row r="102" spans="29:32" ht="16" x14ac:dyDescent="0.2">
      <c r="AC102" s="397" t="s">
        <v>1753</v>
      </c>
      <c r="AD102" s="200" t="s">
        <v>1754</v>
      </c>
      <c r="AE102" s="205">
        <v>84</v>
      </c>
      <c r="AF102" s="200" t="s">
        <v>1643</v>
      </c>
    </row>
    <row r="103" spans="29:32" ht="16" x14ac:dyDescent="0.2">
      <c r="AC103" s="397" t="s">
        <v>492</v>
      </c>
      <c r="AD103" s="200" t="s">
        <v>567</v>
      </c>
      <c r="AE103" s="205">
        <v>85</v>
      </c>
      <c r="AF103" s="200" t="s">
        <v>1643</v>
      </c>
    </row>
    <row r="104" spans="29:32" ht="16" x14ac:dyDescent="0.2">
      <c r="AC104" s="397"/>
      <c r="AD104" s="200" t="s">
        <v>491</v>
      </c>
      <c r="AE104" s="205">
        <v>86</v>
      </c>
      <c r="AF104" s="200" t="s">
        <v>1643</v>
      </c>
    </row>
    <row r="105" spans="29:32" ht="16" x14ac:dyDescent="0.2">
      <c r="AC105" s="397" t="s">
        <v>637</v>
      </c>
      <c r="AD105" s="200" t="s">
        <v>1945</v>
      </c>
      <c r="AE105" s="205">
        <v>87</v>
      </c>
      <c r="AF105" s="200" t="s">
        <v>1643</v>
      </c>
    </row>
    <row r="106" spans="29:32" ht="16" x14ac:dyDescent="0.2">
      <c r="AC106" s="397" t="s">
        <v>1936</v>
      </c>
      <c r="AD106" s="200" t="s">
        <v>1791</v>
      </c>
      <c r="AE106" s="205">
        <v>88</v>
      </c>
      <c r="AF106" s="200" t="s">
        <v>1643</v>
      </c>
    </row>
    <row r="107" spans="29:32" ht="16" x14ac:dyDescent="0.2">
      <c r="AC107" s="397" t="s">
        <v>596</v>
      </c>
      <c r="AD107" s="200" t="s">
        <v>356</v>
      </c>
      <c r="AE107" s="205">
        <v>89</v>
      </c>
      <c r="AF107" s="200" t="s">
        <v>1643</v>
      </c>
    </row>
    <row r="108" spans="29:32" ht="16" x14ac:dyDescent="0.2">
      <c r="AC108" s="397"/>
      <c r="AD108" s="200" t="s">
        <v>763</v>
      </c>
      <c r="AE108" s="205">
        <v>90</v>
      </c>
      <c r="AF108" s="200" t="s">
        <v>1856</v>
      </c>
    </row>
    <row r="109" spans="29:32" ht="16" x14ac:dyDescent="0.2">
      <c r="AC109" s="397" t="s">
        <v>1254</v>
      </c>
      <c r="AD109" s="200" t="s">
        <v>721</v>
      </c>
      <c r="AE109" s="205">
        <v>91</v>
      </c>
      <c r="AF109" s="200" t="s">
        <v>1856</v>
      </c>
    </row>
    <row r="110" spans="29:32" ht="16" x14ac:dyDescent="0.2">
      <c r="AC110" s="397" t="s">
        <v>107</v>
      </c>
      <c r="AD110" s="200" t="s">
        <v>359</v>
      </c>
      <c r="AE110" s="205">
        <v>92</v>
      </c>
      <c r="AF110" s="200" t="s">
        <v>1643</v>
      </c>
    </row>
    <row r="111" spans="29:32" ht="16" x14ac:dyDescent="0.2">
      <c r="AC111" s="397"/>
      <c r="AD111" s="200" t="s">
        <v>331</v>
      </c>
      <c r="AE111" s="205">
        <v>93</v>
      </c>
      <c r="AF111" s="200" t="s">
        <v>1643</v>
      </c>
    </row>
    <row r="112" spans="29:32" ht="16" x14ac:dyDescent="0.2">
      <c r="AC112" s="397" t="s">
        <v>1923</v>
      </c>
      <c r="AD112" s="200" t="s">
        <v>1298</v>
      </c>
      <c r="AE112" s="205">
        <v>95</v>
      </c>
      <c r="AF112" s="200" t="s">
        <v>1643</v>
      </c>
    </row>
    <row r="113" spans="29:32" ht="16" x14ac:dyDescent="0.2">
      <c r="AC113" s="397"/>
      <c r="AD113" s="200" t="s">
        <v>1924</v>
      </c>
      <c r="AE113" s="205">
        <v>94</v>
      </c>
      <c r="AF113" s="200" t="s">
        <v>1643</v>
      </c>
    </row>
    <row r="114" spans="29:32" ht="16" x14ac:dyDescent="0.2">
      <c r="AC114" s="397" t="s">
        <v>1260</v>
      </c>
      <c r="AD114" s="200" t="s">
        <v>1344</v>
      </c>
      <c r="AE114" s="205">
        <v>96</v>
      </c>
      <c r="AF114" s="200" t="s">
        <v>1856</v>
      </c>
    </row>
    <row r="115" spans="29:32" ht="16" x14ac:dyDescent="0.2">
      <c r="AC115" s="397" t="s">
        <v>1253</v>
      </c>
      <c r="AD115" s="200" t="s">
        <v>301</v>
      </c>
      <c r="AE115" s="205">
        <v>97</v>
      </c>
      <c r="AF115" s="200" t="s">
        <v>1643</v>
      </c>
    </row>
    <row r="116" spans="29:32" ht="16" x14ac:dyDescent="0.2">
      <c r="AC116" s="397" t="s">
        <v>849</v>
      </c>
      <c r="AD116" s="200" t="s">
        <v>1943</v>
      </c>
      <c r="AE116" s="205">
        <v>98</v>
      </c>
      <c r="AF116" s="200" t="s">
        <v>1643</v>
      </c>
    </row>
    <row r="117" spans="29:32" ht="16" x14ac:dyDescent="0.2">
      <c r="AC117" s="397" t="s">
        <v>100</v>
      </c>
      <c r="AD117" s="200" t="s">
        <v>292</v>
      </c>
      <c r="AE117" s="205">
        <v>99</v>
      </c>
      <c r="AF117" s="200" t="s">
        <v>1643</v>
      </c>
    </row>
    <row r="118" spans="29:32" ht="20" customHeight="1" x14ac:dyDescent="0.2">
      <c r="AC118" s="397"/>
      <c r="AD118" s="200" t="s">
        <v>317</v>
      </c>
      <c r="AE118" s="205">
        <v>100</v>
      </c>
      <c r="AF118" s="200" t="s">
        <v>1643</v>
      </c>
    </row>
    <row r="119" spans="29:32" ht="16" x14ac:dyDescent="0.2">
      <c r="AC119" s="397" t="s">
        <v>1605</v>
      </c>
      <c r="AD119" s="200" t="s">
        <v>291</v>
      </c>
      <c r="AE119" s="205">
        <v>101</v>
      </c>
      <c r="AF119" s="200" t="s">
        <v>1856</v>
      </c>
    </row>
    <row r="120" spans="29:32" ht="16" x14ac:dyDescent="0.2">
      <c r="AC120" s="397" t="s">
        <v>247</v>
      </c>
      <c r="AD120" s="200" t="s">
        <v>360</v>
      </c>
      <c r="AE120" s="205">
        <v>102</v>
      </c>
      <c r="AF120" s="200" t="s">
        <v>1643</v>
      </c>
    </row>
    <row r="121" spans="29:32" ht="16" x14ac:dyDescent="0.2">
      <c r="AC121" s="397" t="s">
        <v>940</v>
      </c>
      <c r="AD121" s="200" t="s">
        <v>569</v>
      </c>
      <c r="AE121" s="205">
        <v>103</v>
      </c>
      <c r="AF121" s="200" t="s">
        <v>1856</v>
      </c>
    </row>
    <row r="122" spans="29:32" ht="16" x14ac:dyDescent="0.2">
      <c r="AC122" s="397" t="s">
        <v>1925</v>
      </c>
      <c r="AD122" s="200" t="s">
        <v>321</v>
      </c>
      <c r="AE122" s="205">
        <v>105</v>
      </c>
      <c r="AF122" s="200" t="s">
        <v>1643</v>
      </c>
    </row>
    <row r="123" spans="29:32" ht="20" customHeight="1" x14ac:dyDescent="0.2">
      <c r="AC123" s="397"/>
      <c r="AD123" s="200" t="s">
        <v>1926</v>
      </c>
      <c r="AE123" s="205">
        <v>104</v>
      </c>
      <c r="AF123" s="200" t="s">
        <v>1643</v>
      </c>
    </row>
    <row r="124" spans="29:32" ht="16" x14ac:dyDescent="0.2">
      <c r="AC124" s="397" t="s">
        <v>1920</v>
      </c>
      <c r="AD124" s="200" t="s">
        <v>1921</v>
      </c>
      <c r="AE124" s="205">
        <v>106</v>
      </c>
      <c r="AF124" s="200" t="s">
        <v>1643</v>
      </c>
    </row>
    <row r="125" spans="29:32" ht="20" customHeight="1" x14ac:dyDescent="0.2">
      <c r="AC125" s="397"/>
      <c r="AD125" s="200" t="s">
        <v>1922</v>
      </c>
      <c r="AE125" s="205">
        <v>107</v>
      </c>
      <c r="AF125" s="200" t="s">
        <v>1643</v>
      </c>
    </row>
    <row r="126" spans="29:32" ht="16" x14ac:dyDescent="0.2">
      <c r="AC126" s="397" t="s">
        <v>120</v>
      </c>
      <c r="AD126" s="200" t="s">
        <v>575</v>
      </c>
      <c r="AE126" s="205">
        <v>108</v>
      </c>
      <c r="AF126" s="200" t="s">
        <v>1856</v>
      </c>
    </row>
    <row r="127" spans="29:32" ht="20" customHeight="1" x14ac:dyDescent="0.2">
      <c r="AC127" s="397"/>
      <c r="AD127" s="200" t="s">
        <v>306</v>
      </c>
      <c r="AE127" s="205">
        <v>109</v>
      </c>
      <c r="AF127" s="200" t="s">
        <v>1643</v>
      </c>
    </row>
    <row r="128" spans="29:32" ht="16" x14ac:dyDescent="0.2">
      <c r="AC128" s="397" t="s">
        <v>796</v>
      </c>
      <c r="AD128" s="200" t="s">
        <v>801</v>
      </c>
      <c r="AE128" s="205">
        <v>110</v>
      </c>
      <c r="AF128" s="200" t="s">
        <v>1643</v>
      </c>
    </row>
    <row r="129" spans="29:32" ht="16" x14ac:dyDescent="0.2">
      <c r="AC129" s="397" t="s">
        <v>1258</v>
      </c>
      <c r="AD129" s="200" t="s">
        <v>297</v>
      </c>
      <c r="AE129" s="205">
        <v>111</v>
      </c>
      <c r="AF129" s="200" t="s">
        <v>1856</v>
      </c>
    </row>
    <row r="130" spans="29:32" ht="16" x14ac:dyDescent="0.2">
      <c r="AC130" s="397" t="s">
        <v>1951</v>
      </c>
      <c r="AD130" s="200" t="s">
        <v>1952</v>
      </c>
      <c r="AE130" s="205">
        <v>112</v>
      </c>
      <c r="AF130" s="200" t="s">
        <v>1643</v>
      </c>
    </row>
    <row r="131" spans="29:32" ht="16" x14ac:dyDescent="0.2">
      <c r="AC131" s="397" t="s">
        <v>1932</v>
      </c>
      <c r="AD131" s="200" t="s">
        <v>322</v>
      </c>
      <c r="AE131" s="205">
        <v>113</v>
      </c>
      <c r="AF131" s="200" t="s">
        <v>1643</v>
      </c>
    </row>
    <row r="132" spans="29:32" ht="16" x14ac:dyDescent="0.2">
      <c r="AC132" s="397" t="s">
        <v>716</v>
      </c>
      <c r="AD132" s="200" t="s">
        <v>297</v>
      </c>
      <c r="AE132" s="205">
        <v>114</v>
      </c>
      <c r="AF132" s="200" t="s">
        <v>1643</v>
      </c>
    </row>
    <row r="133" spans="29:32" ht="16" x14ac:dyDescent="0.2">
      <c r="AC133" s="397" t="s">
        <v>597</v>
      </c>
      <c r="AD133" s="200" t="s">
        <v>601</v>
      </c>
      <c r="AE133" s="205">
        <v>115</v>
      </c>
      <c r="AF133" s="200" t="s">
        <v>1643</v>
      </c>
    </row>
    <row r="134" spans="29:32" ht="16" x14ac:dyDescent="0.2">
      <c r="AC134" s="397" t="s">
        <v>103</v>
      </c>
      <c r="AD134" s="200" t="s">
        <v>361</v>
      </c>
      <c r="AE134" s="205">
        <v>116</v>
      </c>
      <c r="AF134" s="200" t="s">
        <v>1643</v>
      </c>
    </row>
    <row r="135" spans="29:32" ht="16" x14ac:dyDescent="0.2">
      <c r="AC135" s="397" t="s">
        <v>1933</v>
      </c>
      <c r="AD135" s="200" t="s">
        <v>1934</v>
      </c>
      <c r="AE135" s="205">
        <v>117</v>
      </c>
      <c r="AF135" s="200" t="s">
        <v>1643</v>
      </c>
    </row>
    <row r="136" spans="29:32" ht="16" x14ac:dyDescent="0.2">
      <c r="AC136" s="397" t="s">
        <v>753</v>
      </c>
      <c r="AD136" s="200" t="s">
        <v>615</v>
      </c>
      <c r="AE136" s="205">
        <v>118</v>
      </c>
      <c r="AF136" s="200" t="s">
        <v>1643</v>
      </c>
    </row>
    <row r="137" spans="29:32" ht="16" x14ac:dyDescent="0.2">
      <c r="AC137" s="397" t="s">
        <v>45</v>
      </c>
      <c r="AD137" s="200" t="s">
        <v>366</v>
      </c>
      <c r="AE137" s="205">
        <v>119</v>
      </c>
      <c r="AF137" s="200" t="s">
        <v>1643</v>
      </c>
    </row>
    <row r="138" spans="29:32" ht="16" x14ac:dyDescent="0.2">
      <c r="AC138" s="397" t="s">
        <v>1539</v>
      </c>
      <c r="AD138" s="200" t="s">
        <v>284</v>
      </c>
      <c r="AE138" s="205">
        <v>120</v>
      </c>
      <c r="AF138" s="200" t="s">
        <v>1856</v>
      </c>
    </row>
    <row r="139" spans="29:32" ht="16" x14ac:dyDescent="0.2">
      <c r="AC139" s="397" t="s">
        <v>1946</v>
      </c>
      <c r="AD139" s="200" t="s">
        <v>1947</v>
      </c>
      <c r="AE139" s="205">
        <v>121</v>
      </c>
      <c r="AF139" s="200" t="s">
        <v>1643</v>
      </c>
    </row>
    <row r="140" spans="29:32" ht="16" x14ac:dyDescent="0.2">
      <c r="AC140" s="397" t="s">
        <v>439</v>
      </c>
      <c r="AD140" s="200" t="s">
        <v>1748</v>
      </c>
      <c r="AE140" s="205">
        <v>122</v>
      </c>
      <c r="AF140" s="200" t="s">
        <v>1643</v>
      </c>
    </row>
    <row r="141" spans="29:32" ht="16" x14ac:dyDescent="0.2">
      <c r="AC141" s="397" t="s">
        <v>105</v>
      </c>
      <c r="AD141" s="200" t="s">
        <v>313</v>
      </c>
      <c r="AE141" s="205">
        <v>123</v>
      </c>
      <c r="AF141" s="200" t="s">
        <v>1643</v>
      </c>
    </row>
    <row r="142" spans="29:32" ht="16" x14ac:dyDescent="0.2">
      <c r="AC142" s="397" t="s">
        <v>1077</v>
      </c>
      <c r="AD142" s="200" t="s">
        <v>1095</v>
      </c>
      <c r="AE142" s="205">
        <v>124</v>
      </c>
      <c r="AF142" s="200" t="s">
        <v>1856</v>
      </c>
    </row>
    <row r="143" spans="29:32" ht="16" x14ac:dyDescent="0.2">
      <c r="AC143" s="397" t="s">
        <v>1935</v>
      </c>
      <c r="AD143" s="200" t="s">
        <v>291</v>
      </c>
      <c r="AE143" s="205">
        <v>125</v>
      </c>
      <c r="AF143" s="200" t="s">
        <v>1643</v>
      </c>
    </row>
    <row r="144" spans="29:32" ht="16" x14ac:dyDescent="0.2">
      <c r="AC144" s="397" t="s">
        <v>109</v>
      </c>
      <c r="AD144" s="200" t="s">
        <v>362</v>
      </c>
      <c r="AE144" s="205">
        <v>126</v>
      </c>
      <c r="AF144" s="200" t="s">
        <v>1643</v>
      </c>
    </row>
  </sheetData>
  <sheetProtection sheet="1" pivotTables="0"/>
  <mergeCells count="30">
    <mergeCell ref="N30:R30"/>
    <mergeCell ref="S30:X30"/>
    <mergeCell ref="A36:AA36"/>
    <mergeCell ref="A48:AA48"/>
    <mergeCell ref="A14:AA14"/>
    <mergeCell ref="A27:AA27"/>
    <mergeCell ref="A28:AA28"/>
    <mergeCell ref="N29:R29"/>
    <mergeCell ref="A31:I31"/>
    <mergeCell ref="A32:I32"/>
    <mergeCell ref="Y12:Z12"/>
    <mergeCell ref="J12:K12"/>
    <mergeCell ref="Y13:Z13"/>
    <mergeCell ref="J13:K13"/>
    <mergeCell ref="J11:K11"/>
    <mergeCell ref="Y11:Z11"/>
    <mergeCell ref="Y8:Z8"/>
    <mergeCell ref="J9:K9"/>
    <mergeCell ref="Y9:Z9"/>
    <mergeCell ref="J10:K10"/>
    <mergeCell ref="Y10:Z10"/>
    <mergeCell ref="A12:A13"/>
    <mergeCell ref="O12:O13"/>
    <mergeCell ref="N6:P6"/>
    <mergeCell ref="D2:E2"/>
    <mergeCell ref="D3:E3"/>
    <mergeCell ref="G3:H3"/>
    <mergeCell ref="I3:J3"/>
    <mergeCell ref="B6:D6"/>
    <mergeCell ref="J8:K8"/>
  </mergeCells>
  <conditionalFormatting sqref="A16:E25">
    <cfRule type="cellIs" dxfId="104" priority="225" operator="lessThan">
      <formula>0</formula>
    </cfRule>
    <cfRule type="expression" dxfId="103" priority="226">
      <formula>OR(RIGHT($O16,4)="W.O.",RIGHT($F16,4)="W.O.")</formula>
    </cfRule>
    <cfRule type="expression" dxfId="102" priority="227">
      <formula>AND(($A$16=""),($A$17=""),($A$18=""),($A$20=""),($A$19=""))</formula>
    </cfRule>
    <cfRule type="cellIs" dxfId="101" priority="228" operator="greaterThan">
      <formula>0</formula>
    </cfRule>
  </conditionalFormatting>
  <conditionalFormatting sqref="F16:F25">
    <cfRule type="expression" dxfId="100" priority="11">
      <formula>AND(ISNUMBER(L16),L16&gt;0)</formula>
    </cfRule>
  </conditionalFormatting>
  <conditionalFormatting sqref="I3 N3 R3 B6 F6 N6 R6 J8 Y8 B9:C13 P9:Q13 N29:N30 S30">
    <cfRule type="containsBlanks" dxfId="99" priority="9">
      <formula>LEN(TRIM(B3))=0</formula>
    </cfRule>
  </conditionalFormatting>
  <conditionalFormatting sqref="L16:L25 N16:N25">
    <cfRule type="cellIs" dxfId="98" priority="3" operator="greaterThan">
      <formula>0</formula>
    </cfRule>
  </conditionalFormatting>
  <conditionalFormatting sqref="O16:O18 O20:O25">
    <cfRule type="expression" dxfId="97" priority="12">
      <formula>AND(ISNUMBER(N16),N16&gt;0)</formula>
    </cfRule>
  </conditionalFormatting>
  <conditionalFormatting sqref="O19">
    <cfRule type="expression" dxfId="96" priority="1">
      <formula>AND(ISNUMBER(N19),N19&gt;0)</formula>
    </cfRule>
  </conditionalFormatting>
  <conditionalFormatting sqref="BA4:BA21">
    <cfRule type="cellIs" dxfId="95" priority="10" operator="equal">
      <formula>0</formula>
    </cfRule>
  </conditionalFormatting>
  <dataValidations count="7">
    <dataValidation type="list" allowBlank="1" showInputMessage="1" sqref="S30:X32" xr:uid="{00000000-0002-0000-0000-000000000000}">
      <formula1>$BJ$3:$BJ$8</formula1>
    </dataValidation>
    <dataValidation type="list" allowBlank="1" showInputMessage="1" sqref="N30:R32" xr:uid="{00000000-0002-0000-0000-000001000000}">
      <formula1>$BJ$6:$BJ$8</formula1>
    </dataValidation>
    <dataValidation type="list" allowBlank="1" showInputMessage="1" showErrorMessage="1" sqref="N6:P6 B6:D6" xr:uid="{00000000-0002-0000-0000-000002000000}">
      <formula1>Club</formula1>
    </dataValidation>
    <dataValidation type="list" allowBlank="1" showInputMessage="1" showErrorMessage="1" sqref="I3:J3" xr:uid="{00000000-0002-0000-0000-000003000000}">
      <formula1>$BD$18:$BD$21</formula1>
    </dataValidation>
    <dataValidation type="list" allowBlank="1" showInputMessage="1" sqref="N29:R29" xr:uid="{00000000-0002-0000-0000-000004000000}">
      <formula1>$BJ$3:$BJ$5</formula1>
    </dataValidation>
    <dataValidation type="list" allowBlank="1" showInputMessage="1" showErrorMessage="1" sqref="F6 R6" xr:uid="{00000000-0002-0000-0000-000006000000}">
      <formula1>$BD$25:$BD$34</formula1>
    </dataValidation>
    <dataValidation type="list" allowBlank="1" showInputMessage="1" showErrorMessage="1" sqref="N3" xr:uid="{00000000-0002-0000-0000-000007000000}">
      <formula1>$BD$35:$BD$36</formula1>
    </dataValidation>
  </dataValidations>
  <printOptions horizontalCentered="1"/>
  <pageMargins left="0.31496062992125984" right="0.31496062992125984" top="0.15748031496062992" bottom="0.15748031496062992" header="0.11811023622047245" footer="0.11811023622047245"/>
  <pageSetup paperSize="9" scale="67" fitToHeight="2" orientation="landscape" horizontalDpi="4294967293" r:id="rId2"/>
  <headerFooter>
    <oddHeader>&amp;C&amp;"Calibri"&amp;10&amp;KFF8C00C2 - Confidential&amp;1#</oddHeader>
  </headerFooter>
  <rowBreaks count="1" manualBreakCount="1">
    <brk id="35" max="26" man="1"/>
  </rowBreaks>
  <drawing r:id="rId3"/>
  <legacyDrawing r:id="rId4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5000000}">
          <x14:formula1>
            <xm:f>'Jour Match'!$B$2:$B$13</xm:f>
          </x14:formula1>
          <xm:sqref>R3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3">
    <tabColor rgb="FFFFFF00"/>
  </sheetPr>
  <dimension ref="A1:AI69"/>
  <sheetViews>
    <sheetView view="pageBreakPreview" zoomScale="50" zoomScaleNormal="70" zoomScaleSheetLayoutView="50" workbookViewId="0">
      <selection sqref="A1:XFD1048576"/>
    </sheetView>
  </sheetViews>
  <sheetFormatPr baseColWidth="10" defaultRowHeight="16" x14ac:dyDescent="0.2"/>
  <cols>
    <col min="1" max="6" width="5.6640625" customWidth="1"/>
    <col min="7" max="10" width="6.6640625" customWidth="1"/>
    <col min="11" max="11" width="5.6640625" customWidth="1"/>
    <col min="12" max="12" width="1.6640625" customWidth="1"/>
    <col min="13" max="13" width="6.1640625" customWidth="1"/>
    <col min="14" max="18" width="5.6640625" customWidth="1"/>
    <col min="19" max="22" width="6.6640625" customWidth="1"/>
    <col min="23" max="23" width="5.6640625" customWidth="1"/>
    <col min="24" max="24" width="1.6640625" customWidth="1"/>
    <col min="25" max="30" width="5.6640625" customWidth="1"/>
    <col min="31" max="34" width="6.6640625" customWidth="1"/>
    <col min="35" max="42" width="5.6640625" customWidth="1"/>
  </cols>
  <sheetData>
    <row r="1" spans="1:35" ht="21" customHeight="1" x14ac:dyDescent="0.25">
      <c r="A1" s="476" t="s">
        <v>1663</v>
      </c>
      <c r="B1" s="476"/>
      <c r="C1" s="476"/>
      <c r="D1" s="476"/>
      <c r="E1" s="476"/>
      <c r="F1" s="476"/>
      <c r="G1" s="476"/>
      <c r="H1" s="476"/>
      <c r="I1" s="476"/>
      <c r="J1" s="476"/>
      <c r="K1" s="476"/>
      <c r="L1" s="151"/>
      <c r="M1" s="476" t="str">
        <f>A1</f>
        <v>UFOLEP 77 – Championnat départemental à 3 - 2025 - 2026</v>
      </c>
      <c r="N1" s="476"/>
      <c r="O1" s="476"/>
      <c r="P1" s="476"/>
      <c r="Q1" s="476"/>
      <c r="R1" s="476"/>
      <c r="S1" s="476"/>
      <c r="T1" s="476"/>
      <c r="U1" s="476"/>
      <c r="V1" s="476"/>
      <c r="W1" s="476"/>
      <c r="X1" s="151"/>
      <c r="Y1" s="476" t="str">
        <f>A1</f>
        <v>UFOLEP 77 – Championnat départemental à 3 - 2025 - 2026</v>
      </c>
      <c r="Z1" s="476"/>
      <c r="AA1" s="476"/>
      <c r="AB1" s="476"/>
      <c r="AC1" s="476"/>
      <c r="AD1" s="476"/>
      <c r="AE1" s="476"/>
      <c r="AF1" s="476"/>
      <c r="AG1" s="476"/>
      <c r="AH1" s="476"/>
      <c r="AI1" s="476"/>
    </row>
    <row r="2" spans="1:35" ht="21" customHeight="1" x14ac:dyDescent="0.25">
      <c r="A2" s="129"/>
      <c r="B2" s="479">
        <f>+'EQUIPE A 3'!$I$3</f>
        <v>0</v>
      </c>
      <c r="C2" s="479"/>
      <c r="D2" s="479"/>
      <c r="E2" s="479"/>
      <c r="F2" s="479"/>
      <c r="G2" s="130" t="s">
        <v>28</v>
      </c>
      <c r="H2" s="179">
        <f>+'EQUIPE A 3'!$N$3</f>
        <v>0</v>
      </c>
      <c r="I2" s="149" t="s">
        <v>523</v>
      </c>
      <c r="J2" s="477">
        <f>+'EQUIPE A 3'!$R$3</f>
        <v>0</v>
      </c>
      <c r="K2" s="478"/>
      <c r="L2" s="152"/>
      <c r="M2" s="129"/>
      <c r="N2" s="479">
        <f>+B2</f>
        <v>0</v>
      </c>
      <c r="O2" s="479"/>
      <c r="P2" s="479"/>
      <c r="Q2" s="479"/>
      <c r="R2" s="479"/>
      <c r="S2" s="130" t="s">
        <v>28</v>
      </c>
      <c r="T2" s="179">
        <f>+H2</f>
        <v>0</v>
      </c>
      <c r="U2" s="149" t="s">
        <v>523</v>
      </c>
      <c r="V2" s="477">
        <f>+J2</f>
        <v>0</v>
      </c>
      <c r="W2" s="478"/>
      <c r="X2" s="152"/>
      <c r="Y2" s="129"/>
      <c r="Z2" s="479">
        <f>+B2</f>
        <v>0</v>
      </c>
      <c r="AA2" s="479"/>
      <c r="AB2" s="479"/>
      <c r="AC2" s="479"/>
      <c r="AD2" s="479"/>
      <c r="AE2" s="130" t="s">
        <v>28</v>
      </c>
      <c r="AF2" s="179">
        <f>+H2</f>
        <v>0</v>
      </c>
      <c r="AG2" s="149" t="s">
        <v>523</v>
      </c>
      <c r="AH2" s="477">
        <f>+J2</f>
        <v>0</v>
      </c>
      <c r="AI2" s="478"/>
    </row>
    <row r="3" spans="1:35" ht="21" customHeight="1" x14ac:dyDescent="0.25">
      <c r="A3" s="466" t="str">
        <f>+'EQUIPE A 3'!B6&amp; " "&amp;'EQUIPE A 3'!F6</f>
        <v xml:space="preserve"> </v>
      </c>
      <c r="B3" s="466"/>
      <c r="C3" s="466"/>
      <c r="D3" s="466"/>
      <c r="E3" s="466"/>
      <c r="F3" s="466"/>
      <c r="G3" s="153" t="s">
        <v>426</v>
      </c>
      <c r="H3" s="467" t="str">
        <f>+'EQUIPE A 3'!N6&amp;" "&amp;'EQUIPE A 3'!R6</f>
        <v xml:space="preserve"> </v>
      </c>
      <c r="I3" s="467"/>
      <c r="J3" s="467"/>
      <c r="K3" s="467"/>
      <c r="L3" s="154"/>
      <c r="M3" s="466" t="str">
        <f>+A3</f>
        <v xml:space="preserve"> </v>
      </c>
      <c r="N3" s="466"/>
      <c r="O3" s="466"/>
      <c r="P3" s="466"/>
      <c r="Q3" s="466"/>
      <c r="R3" s="466"/>
      <c r="S3" s="147" t="s">
        <v>426</v>
      </c>
      <c r="T3" s="467" t="str">
        <f>+H3</f>
        <v xml:space="preserve"> </v>
      </c>
      <c r="U3" s="467"/>
      <c r="V3" s="467"/>
      <c r="W3" s="467"/>
      <c r="X3" s="154"/>
      <c r="Y3" s="466" t="str">
        <f>+A3</f>
        <v xml:space="preserve"> </v>
      </c>
      <c r="Z3" s="466"/>
      <c r="AA3" s="466"/>
      <c r="AB3" s="466"/>
      <c r="AC3" s="466"/>
      <c r="AD3" s="466"/>
      <c r="AE3" s="153" t="s">
        <v>426</v>
      </c>
      <c r="AF3" s="467" t="str">
        <f>+H3</f>
        <v xml:space="preserve"> </v>
      </c>
      <c r="AG3" s="467"/>
      <c r="AH3" s="467"/>
      <c r="AI3" s="467"/>
    </row>
    <row r="4" spans="1:35" ht="21" customHeight="1" thickBot="1" x14ac:dyDescent="0.25">
      <c r="A4" s="134" t="s">
        <v>29</v>
      </c>
      <c r="B4" s="471" t="str">
        <f>IF(ISBLANK(+'EQUIPE A 3'!D3),+'EQUIPE A 3'!D2,+'EQUIPE A 3'!D3)</f>
        <v/>
      </c>
      <c r="C4" s="471" t="e">
        <f>IF(ISBLANK(' EQUIPE A 4'!#REF!),' EQUIPE A 4'!#REF!,#REF!)</f>
        <v>#REF!</v>
      </c>
      <c r="D4" s="471" t="e">
        <f>IF(ISBLANK(' EQUIPE A 4'!#REF!),' EQUIPE A 4'!#REF!,#REF!)</f>
        <v>#REF!</v>
      </c>
      <c r="E4" s="471" t="e">
        <f>IF(ISBLANK(' EQUIPE A 4'!#REF!),' EQUIPE A 4'!#REF!,#REF!)</f>
        <v>#REF!</v>
      </c>
      <c r="F4" s="471" t="e">
        <f>IF(ISBLANK(' EQUIPE A 4'!#REF!),' EQUIPE A 4'!#REF!,#REF!)</f>
        <v>#REF!</v>
      </c>
      <c r="G4" s="135"/>
      <c r="H4" s="136" t="s">
        <v>407</v>
      </c>
      <c r="I4" s="484"/>
      <c r="J4" s="485"/>
      <c r="K4" s="486"/>
      <c r="L4" s="155"/>
      <c r="M4" s="134" t="s">
        <v>29</v>
      </c>
      <c r="N4" s="471" t="str">
        <f>+B4</f>
        <v/>
      </c>
      <c r="O4" s="471"/>
      <c r="P4" s="471"/>
      <c r="Q4" s="471"/>
      <c r="R4" s="471"/>
      <c r="S4" s="135"/>
      <c r="T4" s="136" t="s">
        <v>407</v>
      </c>
      <c r="U4" s="484"/>
      <c r="V4" s="485"/>
      <c r="W4" s="486"/>
      <c r="X4" s="155"/>
      <c r="Y4" s="134" t="s">
        <v>29</v>
      </c>
      <c r="Z4" s="471" t="str">
        <f>+B4</f>
        <v/>
      </c>
      <c r="AA4" s="471"/>
      <c r="AB4" s="471"/>
      <c r="AC4" s="471">
        <v>43382</v>
      </c>
      <c r="AD4" s="471"/>
      <c r="AE4" s="135"/>
      <c r="AF4" s="136" t="s">
        <v>407</v>
      </c>
      <c r="AG4" s="484"/>
      <c r="AH4" s="485"/>
      <c r="AI4" s="486"/>
    </row>
    <row r="5" spans="1:35" ht="21" customHeight="1" thickTop="1" x14ac:dyDescent="0.2">
      <c r="A5" s="129"/>
      <c r="B5" s="138"/>
      <c r="C5" s="138"/>
      <c r="D5" s="138"/>
      <c r="E5" s="138"/>
      <c r="F5" s="131"/>
      <c r="G5" s="131" t="s">
        <v>1021</v>
      </c>
      <c r="H5" s="131"/>
      <c r="I5" s="131"/>
      <c r="J5" s="131"/>
      <c r="K5" s="139"/>
      <c r="L5" s="155"/>
      <c r="M5" s="129"/>
      <c r="N5" s="138"/>
      <c r="O5" s="138"/>
      <c r="P5" s="138"/>
      <c r="Q5" s="138"/>
      <c r="R5" s="131"/>
      <c r="S5" s="131" t="s">
        <v>1021</v>
      </c>
      <c r="T5" s="131"/>
      <c r="U5" s="131"/>
      <c r="V5" s="131"/>
      <c r="W5" s="139"/>
      <c r="X5" s="155"/>
      <c r="Y5" s="129"/>
      <c r="Z5" s="131"/>
      <c r="AA5" s="131"/>
      <c r="AB5" s="131"/>
      <c r="AC5" s="138"/>
      <c r="AD5" s="131"/>
      <c r="AE5" s="131" t="s">
        <v>1021</v>
      </c>
      <c r="AF5" s="131"/>
      <c r="AG5" s="131"/>
      <c r="AH5" s="131"/>
      <c r="AI5" s="139"/>
    </row>
    <row r="6" spans="1:35" ht="21" customHeight="1" x14ac:dyDescent="0.25">
      <c r="A6" s="156" t="s">
        <v>405</v>
      </c>
      <c r="B6" s="473" t="s">
        <v>1022</v>
      </c>
      <c r="C6" s="473"/>
      <c r="D6" s="473"/>
      <c r="E6" s="473"/>
      <c r="F6" s="473"/>
      <c r="G6" s="157" t="s">
        <v>12</v>
      </c>
      <c r="H6" s="157" t="s">
        <v>13</v>
      </c>
      <c r="I6" s="157" t="s">
        <v>14</v>
      </c>
      <c r="J6" s="157" t="s">
        <v>15</v>
      </c>
      <c r="K6" s="157" t="s">
        <v>16</v>
      </c>
      <c r="L6" s="158"/>
      <c r="M6" s="156" t="s">
        <v>405</v>
      </c>
      <c r="N6" s="473" t="s">
        <v>1023</v>
      </c>
      <c r="O6" s="473"/>
      <c r="P6" s="473"/>
      <c r="Q6" s="473"/>
      <c r="R6" s="473"/>
      <c r="S6" s="157" t="s">
        <v>12</v>
      </c>
      <c r="T6" s="157" t="s">
        <v>13</v>
      </c>
      <c r="U6" s="157" t="s">
        <v>14</v>
      </c>
      <c r="V6" s="157" t="s">
        <v>15</v>
      </c>
      <c r="W6" s="157" t="s">
        <v>16</v>
      </c>
      <c r="X6" s="158"/>
      <c r="Y6" s="156" t="s">
        <v>405</v>
      </c>
      <c r="Z6" s="473" t="s">
        <v>1024</v>
      </c>
      <c r="AA6" s="473"/>
      <c r="AB6" s="473"/>
      <c r="AC6" s="473"/>
      <c r="AD6" s="473"/>
      <c r="AE6" s="157" t="s">
        <v>12</v>
      </c>
      <c r="AF6" s="157" t="s">
        <v>13</v>
      </c>
      <c r="AG6" s="157" t="s">
        <v>14</v>
      </c>
      <c r="AH6" s="157" t="s">
        <v>15</v>
      </c>
      <c r="AI6" s="157" t="s">
        <v>16</v>
      </c>
    </row>
    <row r="7" spans="1:35" ht="24" customHeight="1" x14ac:dyDescent="0.2">
      <c r="A7" s="180" t="str">
        <f>+'EQUIPE A 3'!C9</f>
        <v xml:space="preserve"> </v>
      </c>
      <c r="B7" s="181"/>
      <c r="C7" s="181"/>
      <c r="D7" s="181"/>
      <c r="E7" s="181"/>
      <c r="F7" s="182"/>
      <c r="G7" s="141"/>
      <c r="H7" s="141"/>
      <c r="I7" s="141"/>
      <c r="J7" s="141"/>
      <c r="K7" s="141"/>
      <c r="L7" s="155"/>
      <c r="M7" s="183" t="str">
        <f>+'EQUIPE A 3'!C10</f>
        <v xml:space="preserve"> </v>
      </c>
      <c r="N7" s="181"/>
      <c r="O7" s="181"/>
      <c r="P7" s="181"/>
      <c r="Q7" s="181"/>
      <c r="R7" s="182"/>
      <c r="S7" s="141"/>
      <c r="T7" s="141"/>
      <c r="U7" s="141"/>
      <c r="V7" s="141"/>
      <c r="W7" s="141"/>
      <c r="X7" s="155"/>
      <c r="Y7" s="183" t="str">
        <f>+'EQUIPE A 3'!C11</f>
        <v xml:space="preserve"> </v>
      </c>
      <c r="Z7" s="181"/>
      <c r="AA7" s="181"/>
      <c r="AB7" s="181"/>
      <c r="AC7" s="181"/>
      <c r="AD7" s="182"/>
      <c r="AE7" s="141"/>
      <c r="AF7" s="141"/>
      <c r="AG7" s="141"/>
      <c r="AH7" s="141"/>
      <c r="AI7" s="141"/>
    </row>
    <row r="8" spans="1:35" ht="24" customHeight="1" x14ac:dyDescent="0.2">
      <c r="A8" s="184" t="str">
        <f>+'EQUIPE A 3'!I9</f>
        <v/>
      </c>
      <c r="B8" s="181"/>
      <c r="C8" s="181"/>
      <c r="D8" s="181"/>
      <c r="E8" s="181"/>
      <c r="F8" s="182"/>
      <c r="G8" s="143"/>
      <c r="H8" s="143"/>
      <c r="I8" s="143"/>
      <c r="J8" s="143"/>
      <c r="K8" s="143"/>
      <c r="L8" s="155"/>
      <c r="M8" s="184" t="str">
        <f>+'EQUIPE A 3'!I10</f>
        <v/>
      </c>
      <c r="N8" s="181"/>
      <c r="O8" s="181"/>
      <c r="P8" s="181"/>
      <c r="Q8" s="181"/>
      <c r="R8" s="182"/>
      <c r="S8" s="143"/>
      <c r="T8" s="143"/>
      <c r="U8" s="143"/>
      <c r="V8" s="143"/>
      <c r="W8" s="143"/>
      <c r="X8" s="155"/>
      <c r="Y8" s="184" t="str">
        <f>+'EQUIPE A 3'!I11</f>
        <v/>
      </c>
      <c r="Z8" s="181"/>
      <c r="AA8" s="181"/>
      <c r="AB8" s="181"/>
      <c r="AC8" s="181"/>
      <c r="AD8" s="182"/>
      <c r="AE8" s="143"/>
      <c r="AF8" s="143"/>
      <c r="AG8" s="143"/>
      <c r="AH8" s="143"/>
      <c r="AI8" s="143"/>
    </row>
    <row r="9" spans="1:35" ht="15.75" customHeight="1" x14ac:dyDescent="0.2">
      <c r="A9" s="142" t="s">
        <v>156</v>
      </c>
      <c r="B9" s="131"/>
      <c r="C9" s="131"/>
      <c r="D9" s="131"/>
      <c r="E9" s="131"/>
      <c r="F9" s="131"/>
      <c r="G9" s="131"/>
      <c r="H9" s="131"/>
      <c r="I9" s="131"/>
      <c r="J9" s="131"/>
      <c r="K9" s="140"/>
      <c r="L9" s="155"/>
      <c r="M9" s="142" t="s">
        <v>156</v>
      </c>
      <c r="N9" s="131"/>
      <c r="O9" s="131"/>
      <c r="P9" s="131"/>
      <c r="Q9" s="131"/>
      <c r="R9" s="131"/>
      <c r="S9" s="131"/>
      <c r="T9" s="131"/>
      <c r="U9" s="131"/>
      <c r="V9" s="131"/>
      <c r="W9" s="140"/>
      <c r="X9" s="155"/>
      <c r="Y9" s="142" t="s">
        <v>156</v>
      </c>
      <c r="Z9" s="130"/>
      <c r="AA9" s="130"/>
      <c r="AB9" s="130"/>
      <c r="AC9" s="131"/>
      <c r="AD9" s="131"/>
      <c r="AE9" s="131"/>
      <c r="AF9" s="131"/>
      <c r="AG9" s="131"/>
      <c r="AH9" s="131"/>
      <c r="AI9" s="140"/>
    </row>
    <row r="10" spans="1:35" ht="24" customHeight="1" x14ac:dyDescent="0.2">
      <c r="A10" s="180" t="str">
        <f>+'EQUIPE A 3'!Q9</f>
        <v xml:space="preserve"> </v>
      </c>
      <c r="B10" s="181"/>
      <c r="C10" s="181"/>
      <c r="D10" s="181"/>
      <c r="E10" s="181"/>
      <c r="F10" s="182"/>
      <c r="G10" s="141"/>
      <c r="H10" s="141"/>
      <c r="I10" s="141"/>
      <c r="J10" s="141"/>
      <c r="K10" s="141"/>
      <c r="L10" s="155"/>
      <c r="M10" s="178" t="str">
        <f>+'EQUIPE A 3'!Q10</f>
        <v xml:space="preserve"> </v>
      </c>
      <c r="N10" s="181"/>
      <c r="O10" s="181"/>
      <c r="P10" s="181"/>
      <c r="Q10" s="181"/>
      <c r="R10" s="182"/>
      <c r="S10" s="141"/>
      <c r="T10" s="141"/>
      <c r="U10" s="141"/>
      <c r="V10" s="141"/>
      <c r="W10" s="141"/>
      <c r="X10" s="155"/>
      <c r="Y10" s="178" t="str">
        <f>+'EQUIPE A 3'!Q11</f>
        <v xml:space="preserve"> </v>
      </c>
      <c r="Z10" s="181"/>
      <c r="AA10" s="181"/>
      <c r="AB10" s="181"/>
      <c r="AC10" s="181"/>
      <c r="AD10" s="182"/>
      <c r="AE10" s="141"/>
      <c r="AF10" s="141"/>
      <c r="AG10" s="141"/>
      <c r="AH10" s="141"/>
      <c r="AI10" s="141"/>
    </row>
    <row r="11" spans="1:35" ht="24" customHeight="1" x14ac:dyDescent="0.2">
      <c r="A11" s="184" t="str">
        <f>+'EQUIPE A 3'!X9</f>
        <v/>
      </c>
      <c r="B11" s="181"/>
      <c r="C11" s="181"/>
      <c r="D11" s="181"/>
      <c r="E11" s="181"/>
      <c r="F11" s="182"/>
      <c r="G11" s="143"/>
      <c r="H11" s="143"/>
      <c r="I11" s="143"/>
      <c r="J11" s="143"/>
      <c r="K11" s="143"/>
      <c r="L11" s="155"/>
      <c r="M11" s="184" t="str">
        <f>+'EQUIPE A 3'!X10</f>
        <v/>
      </c>
      <c r="N11" s="181"/>
      <c r="O11" s="181"/>
      <c r="P11" s="181"/>
      <c r="Q11" s="181"/>
      <c r="R11" s="182"/>
      <c r="S11" s="143"/>
      <c r="T11" s="143"/>
      <c r="U11" s="143"/>
      <c r="V11" s="143"/>
      <c r="W11" s="143"/>
      <c r="X11" s="155"/>
      <c r="Y11" s="184" t="str">
        <f>+'EQUIPE A 3'!X11</f>
        <v/>
      </c>
      <c r="Z11" s="181"/>
      <c r="AA11" s="181"/>
      <c r="AB11" s="181"/>
      <c r="AC11" s="181"/>
      <c r="AD11" s="182"/>
      <c r="AE11" s="143"/>
      <c r="AF11" s="143"/>
      <c r="AG11" s="143"/>
      <c r="AH11" s="143"/>
      <c r="AI11" s="143"/>
    </row>
    <row r="12" spans="1:35" ht="21" customHeight="1" x14ac:dyDescent="0.2">
      <c r="A12" s="144" t="s">
        <v>406</v>
      </c>
      <c r="B12" s="131"/>
      <c r="C12" s="131"/>
      <c r="D12" s="131"/>
      <c r="E12" s="131"/>
      <c r="F12" s="131"/>
      <c r="G12" s="131"/>
      <c r="H12" s="131"/>
      <c r="I12" s="131"/>
      <c r="J12" s="131"/>
      <c r="K12" s="139"/>
      <c r="L12" s="155"/>
      <c r="M12" s="144" t="s">
        <v>406</v>
      </c>
      <c r="N12" s="131"/>
      <c r="O12" s="131"/>
      <c r="P12" s="131"/>
      <c r="Q12" s="131"/>
      <c r="R12" s="131"/>
      <c r="S12" s="131"/>
      <c r="T12" s="131"/>
      <c r="U12" s="131"/>
      <c r="V12" s="131"/>
      <c r="W12" s="139"/>
      <c r="X12" s="155"/>
      <c r="Y12" s="144" t="s">
        <v>406</v>
      </c>
      <c r="Z12" s="145"/>
      <c r="AA12" s="131"/>
      <c r="AB12" s="145"/>
      <c r="AC12" s="131"/>
      <c r="AD12" s="131"/>
      <c r="AE12" s="131"/>
      <c r="AF12" s="131"/>
      <c r="AG12" s="131"/>
      <c r="AH12" s="131"/>
      <c r="AI12" s="139"/>
    </row>
    <row r="13" spans="1:35" ht="21" customHeight="1" x14ac:dyDescent="0.2">
      <c r="A13" s="146"/>
      <c r="B13" s="147"/>
      <c r="C13" s="147"/>
      <c r="D13" s="147"/>
      <c r="E13" s="147"/>
      <c r="F13" s="147"/>
      <c r="G13" s="147"/>
      <c r="H13" s="147"/>
      <c r="I13" s="147"/>
      <c r="J13" s="147"/>
      <c r="K13" s="148"/>
      <c r="L13" s="155"/>
      <c r="M13" s="146"/>
      <c r="N13" s="147"/>
      <c r="O13" s="147"/>
      <c r="P13" s="147"/>
      <c r="Q13" s="147"/>
      <c r="R13" s="147"/>
      <c r="S13" s="147"/>
      <c r="T13" s="147"/>
      <c r="U13" s="147"/>
      <c r="V13" s="147"/>
      <c r="W13" s="148"/>
      <c r="X13" s="155"/>
      <c r="Y13" s="146"/>
      <c r="Z13" s="147"/>
      <c r="AA13" s="147"/>
      <c r="AB13" s="147"/>
      <c r="AC13" s="147"/>
      <c r="AD13" s="147"/>
      <c r="AE13" s="147"/>
      <c r="AF13" s="147"/>
      <c r="AG13" s="147"/>
      <c r="AH13" s="147"/>
      <c r="AI13" s="148"/>
    </row>
    <row r="14" spans="1:35" ht="2" customHeight="1" x14ac:dyDescent="0.2">
      <c r="A14" s="155"/>
      <c r="B14" s="155"/>
      <c r="C14" s="155"/>
      <c r="D14" s="155"/>
      <c r="E14" s="155"/>
      <c r="F14" s="155"/>
      <c r="G14" s="155"/>
      <c r="H14" s="155"/>
      <c r="I14" s="155"/>
      <c r="J14" s="155"/>
      <c r="K14" s="155"/>
      <c r="L14" s="155"/>
      <c r="M14" s="155"/>
      <c r="N14" s="155"/>
      <c r="O14" s="155"/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</row>
    <row r="15" spans="1:35" ht="21" customHeight="1" x14ac:dyDescent="0.25">
      <c r="A15" s="476" t="str">
        <f>A1</f>
        <v>UFOLEP 77 – Championnat départemental à 3 - 2025 - 2026</v>
      </c>
      <c r="B15" s="476"/>
      <c r="C15" s="476"/>
      <c r="D15" s="476"/>
      <c r="E15" s="476"/>
      <c r="F15" s="476"/>
      <c r="G15" s="476"/>
      <c r="H15" s="476"/>
      <c r="I15" s="476"/>
      <c r="J15" s="476"/>
      <c r="K15" s="476"/>
      <c r="L15" s="151"/>
      <c r="M15" s="476" t="str">
        <f>A1</f>
        <v>UFOLEP 77 – Championnat départemental à 3 - 2025 - 2026</v>
      </c>
      <c r="N15" s="476"/>
      <c r="O15" s="476"/>
      <c r="P15" s="476"/>
      <c r="Q15" s="476"/>
      <c r="R15" s="476"/>
      <c r="S15" s="476"/>
      <c r="T15" s="476"/>
      <c r="U15" s="476"/>
      <c r="V15" s="476"/>
      <c r="W15" s="476"/>
      <c r="X15" s="151"/>
      <c r="Y15" s="476" t="str">
        <f>A1</f>
        <v>UFOLEP 77 – Championnat départemental à 3 - 2025 - 2026</v>
      </c>
      <c r="Z15" s="476"/>
      <c r="AA15" s="476"/>
      <c r="AB15" s="476"/>
      <c r="AC15" s="476"/>
      <c r="AD15" s="476"/>
      <c r="AE15" s="476"/>
      <c r="AF15" s="476"/>
      <c r="AG15" s="476"/>
      <c r="AH15" s="476"/>
      <c r="AI15" s="476"/>
    </row>
    <row r="16" spans="1:35" ht="21" customHeight="1" x14ac:dyDescent="0.25">
      <c r="A16" s="129"/>
      <c r="B16" s="470">
        <f>+B2</f>
        <v>0</v>
      </c>
      <c r="C16" s="470"/>
      <c r="D16" s="470"/>
      <c r="E16" s="470"/>
      <c r="F16" s="470"/>
      <c r="G16" s="130" t="s">
        <v>28</v>
      </c>
      <c r="H16" s="133">
        <f>+H2</f>
        <v>0</v>
      </c>
      <c r="I16" s="149" t="s">
        <v>523</v>
      </c>
      <c r="J16" s="487">
        <f>+J2</f>
        <v>0</v>
      </c>
      <c r="K16" s="488"/>
      <c r="L16" s="152"/>
      <c r="M16" s="129"/>
      <c r="N16" s="479">
        <f>+B2</f>
        <v>0</v>
      </c>
      <c r="O16" s="479"/>
      <c r="P16" s="479"/>
      <c r="Q16" s="479"/>
      <c r="R16" s="479"/>
      <c r="S16" s="130" t="s">
        <v>28</v>
      </c>
      <c r="T16" s="133">
        <f>+' EQUIPE A 4'!$N$3</f>
        <v>0</v>
      </c>
      <c r="U16" s="149" t="s">
        <v>523</v>
      </c>
      <c r="V16" s="489">
        <f>+J2</f>
        <v>0</v>
      </c>
      <c r="W16" s="490"/>
      <c r="X16" s="152"/>
      <c r="Y16" s="129"/>
      <c r="Z16" s="479">
        <f>+B2</f>
        <v>0</v>
      </c>
      <c r="AA16" s="479"/>
      <c r="AB16" s="479"/>
      <c r="AC16" s="479">
        <f>+B2</f>
        <v>0</v>
      </c>
      <c r="AD16" s="479"/>
      <c r="AE16" s="130" t="s">
        <v>28</v>
      </c>
      <c r="AF16" s="133">
        <f>+' EQUIPE A 4'!$N$3</f>
        <v>0</v>
      </c>
      <c r="AG16" s="149" t="s">
        <v>523</v>
      </c>
      <c r="AH16" s="489">
        <f>+J2</f>
        <v>0</v>
      </c>
      <c r="AI16" s="490"/>
    </row>
    <row r="17" spans="1:35" ht="21" customHeight="1" x14ac:dyDescent="0.25">
      <c r="A17" s="466" t="str">
        <f>+A3</f>
        <v xml:space="preserve"> </v>
      </c>
      <c r="B17" s="466"/>
      <c r="C17" s="466"/>
      <c r="D17" s="466"/>
      <c r="E17" s="466"/>
      <c r="F17" s="466"/>
      <c r="G17" s="153" t="s">
        <v>426</v>
      </c>
      <c r="H17" s="467" t="str">
        <f>+H3</f>
        <v xml:space="preserve"> </v>
      </c>
      <c r="I17" s="467"/>
      <c r="J17" s="467"/>
      <c r="K17" s="467"/>
      <c r="L17" s="160"/>
      <c r="M17" s="466" t="str">
        <f>+A3</f>
        <v xml:space="preserve"> </v>
      </c>
      <c r="N17" s="466"/>
      <c r="O17" s="466"/>
      <c r="P17" s="466"/>
      <c r="Q17" s="466"/>
      <c r="R17" s="466"/>
      <c r="S17" s="147" t="s">
        <v>426</v>
      </c>
      <c r="T17" s="467" t="str">
        <f>+H3</f>
        <v xml:space="preserve"> </v>
      </c>
      <c r="U17" s="467"/>
      <c r="V17" s="467"/>
      <c r="W17" s="467"/>
      <c r="X17" s="160"/>
      <c r="Y17" s="466" t="str">
        <f>+A3</f>
        <v xml:space="preserve"> </v>
      </c>
      <c r="Z17" s="466"/>
      <c r="AA17" s="466"/>
      <c r="AB17" s="466"/>
      <c r="AC17" s="466"/>
      <c r="AD17" s="466"/>
      <c r="AE17" s="153" t="s">
        <v>426</v>
      </c>
      <c r="AF17" s="467" t="str">
        <f>+H3</f>
        <v xml:space="preserve"> </v>
      </c>
      <c r="AG17" s="467"/>
      <c r="AH17" s="467"/>
      <c r="AI17" s="467"/>
    </row>
    <row r="18" spans="1:35" ht="21" customHeight="1" thickBot="1" x14ac:dyDescent="0.25">
      <c r="A18" s="134" t="s">
        <v>29</v>
      </c>
      <c r="B18" s="471" t="str">
        <f>+B4</f>
        <v/>
      </c>
      <c r="C18" s="471"/>
      <c r="D18" s="471"/>
      <c r="E18" s="471"/>
      <c r="F18" s="471"/>
      <c r="G18" s="135"/>
      <c r="H18" s="136" t="s">
        <v>407</v>
      </c>
      <c r="I18" s="135"/>
      <c r="J18" s="135"/>
      <c r="K18" s="137"/>
      <c r="L18" s="155"/>
      <c r="M18" s="134" t="s">
        <v>29</v>
      </c>
      <c r="N18" s="471" t="str">
        <f>+B4</f>
        <v/>
      </c>
      <c r="O18" s="471"/>
      <c r="P18" s="471"/>
      <c r="Q18" s="471"/>
      <c r="R18" s="471"/>
      <c r="S18" s="135"/>
      <c r="T18" s="136" t="s">
        <v>407</v>
      </c>
      <c r="U18" s="135"/>
      <c r="V18" s="135"/>
      <c r="W18" s="137"/>
      <c r="X18" s="155"/>
      <c r="Y18" s="134" t="s">
        <v>29</v>
      </c>
      <c r="Z18" s="471" t="str">
        <f>+B4</f>
        <v/>
      </c>
      <c r="AA18" s="471"/>
      <c r="AB18" s="471"/>
      <c r="AC18" s="471">
        <v>43382</v>
      </c>
      <c r="AD18" s="471"/>
      <c r="AE18" s="135"/>
      <c r="AF18" s="136" t="s">
        <v>407</v>
      </c>
      <c r="AG18" s="135"/>
      <c r="AH18" s="135"/>
      <c r="AI18" s="137"/>
    </row>
    <row r="19" spans="1:35" ht="21" customHeight="1" thickTop="1" x14ac:dyDescent="0.2">
      <c r="A19" s="129"/>
      <c r="B19" s="138"/>
      <c r="C19" s="138"/>
      <c r="D19" s="138"/>
      <c r="E19" s="138"/>
      <c r="F19" s="131"/>
      <c r="G19" s="131" t="s">
        <v>1021</v>
      </c>
      <c r="H19" s="131"/>
      <c r="I19" s="131"/>
      <c r="J19" s="131"/>
      <c r="K19" s="139"/>
      <c r="L19" s="155"/>
      <c r="M19" s="129"/>
      <c r="N19" s="138"/>
      <c r="O19" s="138"/>
      <c r="P19" s="138"/>
      <c r="Q19" s="138"/>
      <c r="R19" s="131"/>
      <c r="S19" s="131" t="s">
        <v>1021</v>
      </c>
      <c r="T19" s="131"/>
      <c r="U19" s="131"/>
      <c r="V19" s="131"/>
      <c r="W19" s="139"/>
      <c r="X19" s="155"/>
      <c r="Y19" s="129"/>
      <c r="Z19" s="131"/>
      <c r="AA19" s="131"/>
      <c r="AB19" s="131"/>
      <c r="AC19" s="138"/>
      <c r="AD19" s="131"/>
      <c r="AE19" s="131" t="s">
        <v>1021</v>
      </c>
      <c r="AF19" s="131"/>
      <c r="AG19" s="131"/>
      <c r="AH19" s="131"/>
      <c r="AI19" s="139"/>
    </row>
    <row r="20" spans="1:35" ht="21" customHeight="1" x14ac:dyDescent="0.25">
      <c r="A20" s="156" t="s">
        <v>405</v>
      </c>
      <c r="B20" s="473" t="s">
        <v>1025</v>
      </c>
      <c r="C20" s="473"/>
      <c r="D20" s="473"/>
      <c r="E20" s="473"/>
      <c r="F20" s="473"/>
      <c r="G20" s="157" t="s">
        <v>12</v>
      </c>
      <c r="H20" s="157" t="s">
        <v>13</v>
      </c>
      <c r="I20" s="157" t="s">
        <v>14</v>
      </c>
      <c r="J20" s="157" t="s">
        <v>15</v>
      </c>
      <c r="K20" s="157" t="s">
        <v>16</v>
      </c>
      <c r="L20" s="158"/>
      <c r="M20" s="156" t="s">
        <v>405</v>
      </c>
      <c r="N20" s="473" t="s">
        <v>1026</v>
      </c>
      <c r="O20" s="473"/>
      <c r="P20" s="473"/>
      <c r="Q20" s="473"/>
      <c r="R20" s="473"/>
      <c r="S20" s="157" t="s">
        <v>12</v>
      </c>
      <c r="T20" s="157" t="s">
        <v>13</v>
      </c>
      <c r="U20" s="157" t="s">
        <v>14</v>
      </c>
      <c r="V20" s="157" t="s">
        <v>15</v>
      </c>
      <c r="W20" s="157" t="s">
        <v>16</v>
      </c>
      <c r="X20" s="158"/>
      <c r="Y20" s="156" t="s">
        <v>405</v>
      </c>
      <c r="Z20" s="473" t="s">
        <v>1027</v>
      </c>
      <c r="AA20" s="473"/>
      <c r="AB20" s="473"/>
      <c r="AC20" s="473"/>
      <c r="AD20" s="473"/>
      <c r="AE20" s="157" t="s">
        <v>12</v>
      </c>
      <c r="AF20" s="157" t="s">
        <v>13</v>
      </c>
      <c r="AG20" s="157" t="s">
        <v>14</v>
      </c>
      <c r="AH20" s="157" t="s">
        <v>15</v>
      </c>
      <c r="AI20" s="157" t="s">
        <v>16</v>
      </c>
    </row>
    <row r="21" spans="1:35" ht="24" customHeight="1" x14ac:dyDescent="0.2">
      <c r="A21" s="480" t="str">
        <f>+A3</f>
        <v xml:space="preserve"> </v>
      </c>
      <c r="B21" s="481"/>
      <c r="C21" s="481"/>
      <c r="D21" s="481"/>
      <c r="E21" s="481"/>
      <c r="F21" s="482"/>
      <c r="G21" s="141"/>
      <c r="H21" s="141"/>
      <c r="I21" s="141"/>
      <c r="J21" s="141"/>
      <c r="K21" s="141"/>
      <c r="L21" s="155"/>
      <c r="M21" s="159" t="str">
        <f>+'EQUIPE A 3'!C10</f>
        <v xml:space="preserve"> </v>
      </c>
      <c r="N21" s="131"/>
      <c r="O21" s="131"/>
      <c r="P21" s="131"/>
      <c r="Q21" s="131"/>
      <c r="R21" s="131"/>
      <c r="S21" s="141"/>
      <c r="T21" s="141"/>
      <c r="U21" s="141"/>
      <c r="V21" s="141"/>
      <c r="W21" s="141"/>
      <c r="X21" s="155"/>
      <c r="Y21" s="159" t="str">
        <f>+'EQUIPE A 3'!C9</f>
        <v xml:space="preserve"> </v>
      </c>
      <c r="Z21" s="131"/>
      <c r="AA21" s="131"/>
      <c r="AB21" s="131"/>
      <c r="AC21" s="131"/>
      <c r="AD21" s="131"/>
      <c r="AE21" s="141"/>
      <c r="AF21" s="141"/>
      <c r="AG21" s="141"/>
      <c r="AH21" s="141"/>
      <c r="AI21" s="141"/>
    </row>
    <row r="22" spans="1:35" ht="24" customHeight="1" x14ac:dyDescent="0.2">
      <c r="A22" s="483"/>
      <c r="B22" s="481"/>
      <c r="C22" s="481"/>
      <c r="D22" s="481"/>
      <c r="E22" s="481"/>
      <c r="F22" s="482"/>
      <c r="G22" s="143"/>
      <c r="H22" s="143"/>
      <c r="I22" s="143"/>
      <c r="J22" s="143"/>
      <c r="K22" s="143"/>
      <c r="L22" s="155"/>
      <c r="M22" s="184" t="str">
        <f>+'EQUIPE A 3'!I10</f>
        <v/>
      </c>
      <c r="N22" s="131"/>
      <c r="O22" s="131"/>
      <c r="P22" s="131"/>
      <c r="Q22" s="131"/>
      <c r="R22" s="131"/>
      <c r="S22" s="143"/>
      <c r="T22" s="143"/>
      <c r="U22" s="143"/>
      <c r="V22" s="143"/>
      <c r="W22" s="143"/>
      <c r="X22" s="155"/>
      <c r="Y22" s="184" t="str">
        <f>+'EQUIPE A 3'!I9</f>
        <v/>
      </c>
      <c r="Z22" s="131"/>
      <c r="AA22" s="131"/>
      <c r="AB22" s="131"/>
      <c r="AC22" s="131"/>
      <c r="AD22" s="131"/>
      <c r="AE22" s="143"/>
      <c r="AF22" s="143"/>
      <c r="AG22" s="143"/>
      <c r="AH22" s="143"/>
      <c r="AI22" s="143"/>
    </row>
    <row r="23" spans="1:35" ht="15.75" customHeight="1" x14ac:dyDescent="0.2">
      <c r="A23" s="142" t="s">
        <v>156</v>
      </c>
      <c r="B23" s="131"/>
      <c r="C23" s="131"/>
      <c r="D23" s="131"/>
      <c r="E23" s="131"/>
      <c r="F23" s="131"/>
      <c r="G23" s="131"/>
      <c r="H23" s="131"/>
      <c r="I23" s="131"/>
      <c r="J23" s="131"/>
      <c r="K23" s="140"/>
      <c r="L23" s="155"/>
      <c r="M23" s="142" t="s">
        <v>156</v>
      </c>
      <c r="N23" s="131"/>
      <c r="O23" s="131"/>
      <c r="P23" s="131"/>
      <c r="Q23" s="131"/>
      <c r="R23" s="131"/>
      <c r="S23" s="131"/>
      <c r="T23" s="131"/>
      <c r="U23" s="131"/>
      <c r="V23" s="131"/>
      <c r="W23" s="140"/>
      <c r="X23" s="155"/>
      <c r="Y23" s="142" t="s">
        <v>156</v>
      </c>
      <c r="Z23" s="130"/>
      <c r="AA23" s="130"/>
      <c r="AB23" s="130"/>
      <c r="AC23" s="131"/>
      <c r="AD23" s="131"/>
      <c r="AE23" s="131"/>
      <c r="AF23" s="131"/>
      <c r="AG23" s="131"/>
      <c r="AH23" s="131"/>
      <c r="AI23" s="140"/>
    </row>
    <row r="24" spans="1:35" ht="24" customHeight="1" x14ac:dyDescent="0.2">
      <c r="A24" s="480" t="str">
        <f>+H3</f>
        <v xml:space="preserve"> </v>
      </c>
      <c r="B24" s="481"/>
      <c r="C24" s="481"/>
      <c r="D24" s="481"/>
      <c r="E24" s="481"/>
      <c r="F24" s="482"/>
      <c r="G24" s="141"/>
      <c r="H24" s="141"/>
      <c r="I24" s="141"/>
      <c r="J24" s="141"/>
      <c r="K24" s="141"/>
      <c r="L24" s="155"/>
      <c r="M24" s="159" t="str">
        <f>+'EQUIPE A 3'!Q9</f>
        <v xml:space="preserve"> </v>
      </c>
      <c r="N24" s="131"/>
      <c r="O24" s="131"/>
      <c r="P24" s="131"/>
      <c r="Q24" s="131"/>
      <c r="R24" s="131"/>
      <c r="S24" s="141"/>
      <c r="T24" s="141"/>
      <c r="U24" s="141"/>
      <c r="V24" s="141"/>
      <c r="W24" s="141"/>
      <c r="X24" s="155"/>
      <c r="Y24" s="159" t="str">
        <f>+'EQUIPE A 3'!Q11</f>
        <v xml:space="preserve"> </v>
      </c>
      <c r="Z24" s="131"/>
      <c r="AA24" s="131"/>
      <c r="AB24" s="131"/>
      <c r="AC24" s="131"/>
      <c r="AD24" s="131"/>
      <c r="AE24" s="141"/>
      <c r="AF24" s="141"/>
      <c r="AG24" s="141"/>
      <c r="AH24" s="141"/>
      <c r="AI24" s="141"/>
    </row>
    <row r="25" spans="1:35" ht="24" customHeight="1" x14ac:dyDescent="0.2">
      <c r="A25" s="483"/>
      <c r="B25" s="481"/>
      <c r="C25" s="481"/>
      <c r="D25" s="481"/>
      <c r="E25" s="481"/>
      <c r="F25" s="482"/>
      <c r="G25" s="143"/>
      <c r="H25" s="143"/>
      <c r="I25" s="143"/>
      <c r="J25" s="143"/>
      <c r="K25" s="143"/>
      <c r="L25" s="155"/>
      <c r="M25" s="184" t="str">
        <f>+'EQUIPE A 3'!X9</f>
        <v/>
      </c>
      <c r="N25" s="131"/>
      <c r="O25" s="131"/>
      <c r="P25" s="131"/>
      <c r="Q25" s="131"/>
      <c r="R25" s="131"/>
      <c r="S25" s="143"/>
      <c r="T25" s="143"/>
      <c r="U25" s="143"/>
      <c r="V25" s="143"/>
      <c r="W25" s="143"/>
      <c r="X25" s="155"/>
      <c r="Y25" s="184" t="str">
        <f>+'EQUIPE A 3'!X11</f>
        <v/>
      </c>
      <c r="Z25" s="131"/>
      <c r="AA25" s="131"/>
      <c r="AB25" s="131"/>
      <c r="AC25" s="131"/>
      <c r="AD25" s="131"/>
      <c r="AE25" s="143"/>
      <c r="AF25" s="143"/>
      <c r="AG25" s="143"/>
      <c r="AH25" s="143"/>
      <c r="AI25" s="143"/>
    </row>
    <row r="26" spans="1:35" ht="21" customHeight="1" x14ac:dyDescent="0.2">
      <c r="A26" s="144" t="s">
        <v>406</v>
      </c>
      <c r="B26" s="131"/>
      <c r="C26" s="131"/>
      <c r="D26" s="131"/>
      <c r="E26" s="131"/>
      <c r="F26" s="131"/>
      <c r="G26" s="131"/>
      <c r="H26" s="131"/>
      <c r="I26" s="131"/>
      <c r="J26" s="131"/>
      <c r="K26" s="139"/>
      <c r="L26" s="155"/>
      <c r="M26" s="144" t="s">
        <v>406</v>
      </c>
      <c r="N26" s="131"/>
      <c r="O26" s="131"/>
      <c r="P26" s="131"/>
      <c r="Q26" s="131"/>
      <c r="R26" s="131"/>
      <c r="S26" s="131"/>
      <c r="T26" s="131"/>
      <c r="U26" s="131"/>
      <c r="V26" s="131"/>
      <c r="W26" s="139"/>
      <c r="X26" s="155"/>
      <c r="Y26" s="144" t="s">
        <v>406</v>
      </c>
      <c r="Z26" s="130"/>
      <c r="AA26" s="145"/>
      <c r="AB26" s="145"/>
      <c r="AC26" s="131"/>
      <c r="AD26" s="131"/>
      <c r="AE26" s="131"/>
      <c r="AF26" s="131"/>
      <c r="AG26" s="131"/>
      <c r="AH26" s="131"/>
      <c r="AI26" s="139"/>
    </row>
    <row r="27" spans="1:35" ht="21" customHeight="1" x14ac:dyDescent="0.2">
      <c r="A27" s="146"/>
      <c r="B27" s="147"/>
      <c r="C27" s="147"/>
      <c r="D27" s="147"/>
      <c r="E27" s="147"/>
      <c r="F27" s="147"/>
      <c r="G27" s="147"/>
      <c r="H27" s="147"/>
      <c r="I27" s="147"/>
      <c r="J27" s="147"/>
      <c r="K27" s="148"/>
      <c r="L27" s="155"/>
      <c r="M27" s="146"/>
      <c r="N27" s="147"/>
      <c r="O27" s="147"/>
      <c r="P27" s="147"/>
      <c r="Q27" s="147"/>
      <c r="R27" s="147"/>
      <c r="S27" s="147"/>
      <c r="T27" s="147"/>
      <c r="U27" s="147"/>
      <c r="V27" s="147"/>
      <c r="W27" s="148"/>
      <c r="X27" s="155"/>
      <c r="Y27" s="146"/>
      <c r="Z27" s="147"/>
      <c r="AA27" s="147"/>
      <c r="AB27" s="147"/>
      <c r="AC27" s="147"/>
      <c r="AD27" s="147"/>
      <c r="AE27" s="147"/>
      <c r="AF27" s="147"/>
      <c r="AG27" s="147"/>
      <c r="AH27" s="147"/>
      <c r="AI27" s="148"/>
    </row>
    <row r="28" spans="1:35" ht="2" customHeight="1" x14ac:dyDescent="0.2">
      <c r="A28" s="155"/>
      <c r="B28" s="155"/>
      <c r="C28" s="155"/>
      <c r="D28" s="155"/>
      <c r="E28" s="155"/>
      <c r="F28" s="155"/>
      <c r="G28" s="155"/>
      <c r="H28" s="155"/>
      <c r="I28" s="155"/>
      <c r="J28" s="155"/>
      <c r="K28" s="155"/>
      <c r="L28" s="155"/>
      <c r="M28" s="155"/>
      <c r="N28" s="155"/>
      <c r="O28" s="155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5"/>
      <c r="AG28" s="155"/>
      <c r="AH28" s="155"/>
      <c r="AI28" s="155"/>
    </row>
    <row r="29" spans="1:35" ht="21" customHeight="1" x14ac:dyDescent="0.25">
      <c r="A29" s="476" t="str">
        <f>A1</f>
        <v>UFOLEP 77 – Championnat départemental à 3 - 2025 - 2026</v>
      </c>
      <c r="B29" s="476"/>
      <c r="C29" s="476"/>
      <c r="D29" s="476"/>
      <c r="E29" s="476"/>
      <c r="F29" s="476"/>
      <c r="G29" s="476"/>
      <c r="H29" s="476"/>
      <c r="I29" s="476"/>
      <c r="J29" s="476"/>
      <c r="K29" s="476"/>
      <c r="L29" s="151"/>
      <c r="M29" s="476" t="str">
        <f>A1</f>
        <v>UFOLEP 77 – Championnat départemental à 3 - 2025 - 2026</v>
      </c>
      <c r="N29" s="476"/>
      <c r="O29" s="476"/>
      <c r="P29" s="476"/>
      <c r="Q29" s="476"/>
      <c r="R29" s="476"/>
      <c r="S29" s="476"/>
      <c r="T29" s="476"/>
      <c r="U29" s="476"/>
      <c r="V29" s="476"/>
      <c r="W29" s="476"/>
      <c r="X29" s="151"/>
      <c r="Y29" s="476" t="str">
        <f>A1</f>
        <v>UFOLEP 77 – Championnat départemental à 3 - 2025 - 2026</v>
      </c>
      <c r="Z29" s="476"/>
      <c r="AA29" s="476"/>
      <c r="AB29" s="476"/>
      <c r="AC29" s="476"/>
      <c r="AD29" s="476"/>
      <c r="AE29" s="476"/>
      <c r="AF29" s="476"/>
      <c r="AG29" s="476"/>
      <c r="AH29" s="476"/>
      <c r="AI29" s="476"/>
    </row>
    <row r="30" spans="1:35" ht="21" customHeight="1" x14ac:dyDescent="0.25">
      <c r="A30" s="129"/>
      <c r="B30" s="479">
        <f>+B2</f>
        <v>0</v>
      </c>
      <c r="C30" s="479"/>
      <c r="D30" s="479"/>
      <c r="E30" s="479"/>
      <c r="F30" s="479"/>
      <c r="G30" s="130" t="s">
        <v>28</v>
      </c>
      <c r="H30" s="133">
        <f>+H2</f>
        <v>0</v>
      </c>
      <c r="I30" s="149" t="s">
        <v>523</v>
      </c>
      <c r="J30" s="477">
        <f>+J2</f>
        <v>0</v>
      </c>
      <c r="K30" s="478"/>
      <c r="L30" s="152"/>
      <c r="M30" s="129"/>
      <c r="N30" s="479">
        <f>+B2</f>
        <v>0</v>
      </c>
      <c r="O30" s="479"/>
      <c r="P30" s="479"/>
      <c r="Q30" s="479"/>
      <c r="R30" s="479"/>
      <c r="S30" s="130" t="s">
        <v>28</v>
      </c>
      <c r="T30" s="133">
        <f>+' EQUIPE A 4'!$N$3</f>
        <v>0</v>
      </c>
      <c r="U30" s="149" t="s">
        <v>523</v>
      </c>
      <c r="V30" s="477">
        <f>+J2</f>
        <v>0</v>
      </c>
      <c r="W30" s="478"/>
      <c r="X30" s="152"/>
      <c r="Y30" s="129"/>
      <c r="Z30" s="479">
        <f>+B2</f>
        <v>0</v>
      </c>
      <c r="AA30" s="479"/>
      <c r="AB30" s="479"/>
      <c r="AC30" s="479"/>
      <c r="AD30" s="479"/>
      <c r="AE30" s="130" t="s">
        <v>28</v>
      </c>
      <c r="AF30" s="133">
        <f>+H2</f>
        <v>0</v>
      </c>
      <c r="AG30" s="149" t="s">
        <v>523</v>
      </c>
      <c r="AH30" s="477">
        <f>+J2</f>
        <v>0</v>
      </c>
      <c r="AI30" s="478"/>
    </row>
    <row r="31" spans="1:35" ht="21" customHeight="1" x14ac:dyDescent="0.25">
      <c r="A31" s="466" t="str">
        <f>+A3</f>
        <v xml:space="preserve"> </v>
      </c>
      <c r="B31" s="466"/>
      <c r="C31" s="466"/>
      <c r="D31" s="466"/>
      <c r="E31" s="466"/>
      <c r="F31" s="466"/>
      <c r="G31" s="153" t="s">
        <v>426</v>
      </c>
      <c r="H31" s="467" t="str">
        <f>+' EQUIPE A 4'!$N$6&amp;" "&amp;' EQUIPE A 4'!$R$6</f>
        <v xml:space="preserve"> </v>
      </c>
      <c r="I31" s="467"/>
      <c r="J31" s="467"/>
      <c r="K31" s="467"/>
      <c r="L31" s="160"/>
      <c r="M31" s="466" t="str">
        <f>+A3</f>
        <v xml:space="preserve"> </v>
      </c>
      <c r="N31" s="466"/>
      <c r="O31" s="466"/>
      <c r="P31" s="466"/>
      <c r="Q31" s="466"/>
      <c r="R31" s="466"/>
      <c r="S31" s="147" t="s">
        <v>426</v>
      </c>
      <c r="T31" s="467" t="str">
        <f>+H3</f>
        <v xml:space="preserve"> </v>
      </c>
      <c r="U31" s="467"/>
      <c r="V31" s="467"/>
      <c r="W31" s="467"/>
      <c r="X31" s="160"/>
      <c r="Y31" s="466" t="str">
        <f>+A3</f>
        <v xml:space="preserve"> </v>
      </c>
      <c r="Z31" s="466"/>
      <c r="AA31" s="466"/>
      <c r="AB31" s="466"/>
      <c r="AC31" s="466"/>
      <c r="AD31" s="466"/>
      <c r="AE31" s="153" t="s">
        <v>426</v>
      </c>
      <c r="AF31" s="467" t="str">
        <f>+H3</f>
        <v xml:space="preserve"> </v>
      </c>
      <c r="AG31" s="467"/>
      <c r="AH31" s="467"/>
      <c r="AI31" s="467"/>
    </row>
    <row r="32" spans="1:35" ht="21" customHeight="1" thickBot="1" x14ac:dyDescent="0.25">
      <c r="A32" s="134" t="s">
        <v>29</v>
      </c>
      <c r="B32" s="471" t="str">
        <f>+B4</f>
        <v/>
      </c>
      <c r="C32" s="471"/>
      <c r="D32" s="471"/>
      <c r="E32" s="471"/>
      <c r="F32" s="471"/>
      <c r="G32" s="135"/>
      <c r="H32" s="136" t="s">
        <v>407</v>
      </c>
      <c r="I32" s="135"/>
      <c r="J32" s="135"/>
      <c r="K32" s="137"/>
      <c r="L32" s="155"/>
      <c r="M32" s="134" t="s">
        <v>29</v>
      </c>
      <c r="N32" s="471" t="str">
        <f>+B4</f>
        <v/>
      </c>
      <c r="O32" s="471"/>
      <c r="P32" s="471"/>
      <c r="Q32" s="471"/>
      <c r="R32" s="471"/>
      <c r="S32" s="135"/>
      <c r="T32" s="136" t="s">
        <v>407</v>
      </c>
      <c r="U32" s="135"/>
      <c r="V32" s="135"/>
      <c r="W32" s="137"/>
      <c r="X32" s="155"/>
      <c r="Y32" s="134" t="s">
        <v>29</v>
      </c>
      <c r="Z32" s="471" t="str">
        <f>+B4</f>
        <v/>
      </c>
      <c r="AA32" s="471"/>
      <c r="AB32" s="471"/>
      <c r="AC32" s="471">
        <v>43382</v>
      </c>
      <c r="AD32" s="471"/>
      <c r="AE32" s="135"/>
      <c r="AF32" s="136" t="s">
        <v>407</v>
      </c>
      <c r="AG32" s="135"/>
      <c r="AH32" s="135"/>
      <c r="AI32" s="137"/>
    </row>
    <row r="33" spans="1:35" ht="21" customHeight="1" thickTop="1" x14ac:dyDescent="0.2">
      <c r="A33" s="129"/>
      <c r="B33" s="138"/>
      <c r="C33" s="138"/>
      <c r="D33" s="138"/>
      <c r="E33" s="138"/>
      <c r="F33" s="131"/>
      <c r="G33" s="131" t="s">
        <v>1021</v>
      </c>
      <c r="H33" s="131"/>
      <c r="I33" s="131"/>
      <c r="J33" s="131"/>
      <c r="K33" s="139"/>
      <c r="L33" s="155"/>
      <c r="M33" s="129"/>
      <c r="N33" s="138"/>
      <c r="O33" s="138"/>
      <c r="P33" s="138"/>
      <c r="Q33" s="138"/>
      <c r="R33" s="131"/>
      <c r="S33" s="131" t="s">
        <v>1021</v>
      </c>
      <c r="T33" s="131"/>
      <c r="U33" s="131"/>
      <c r="V33" s="131"/>
      <c r="W33" s="139"/>
      <c r="X33" s="155"/>
      <c r="Y33" s="129"/>
      <c r="Z33" s="131"/>
      <c r="AA33" s="131"/>
      <c r="AB33" s="131"/>
      <c r="AC33" s="138"/>
      <c r="AD33" s="131"/>
      <c r="AE33" s="131" t="s">
        <v>1021</v>
      </c>
      <c r="AF33" s="131"/>
      <c r="AG33" s="131"/>
      <c r="AH33" s="131"/>
      <c r="AI33" s="139"/>
    </row>
    <row r="34" spans="1:35" ht="21" customHeight="1" x14ac:dyDescent="0.25">
      <c r="A34" s="156" t="s">
        <v>405</v>
      </c>
      <c r="B34" s="473" t="s">
        <v>1028</v>
      </c>
      <c r="C34" s="473"/>
      <c r="D34" s="473"/>
      <c r="E34" s="473"/>
      <c r="F34" s="473"/>
      <c r="G34" s="157" t="s">
        <v>12</v>
      </c>
      <c r="H34" s="157" t="s">
        <v>13</v>
      </c>
      <c r="I34" s="157" t="s">
        <v>14</v>
      </c>
      <c r="J34" s="157" t="s">
        <v>15</v>
      </c>
      <c r="K34" s="157" t="s">
        <v>16</v>
      </c>
      <c r="L34" s="158"/>
      <c r="M34" s="156" t="s">
        <v>405</v>
      </c>
      <c r="N34" s="473" t="s">
        <v>1029</v>
      </c>
      <c r="O34" s="473"/>
      <c r="P34" s="473"/>
      <c r="Q34" s="473"/>
      <c r="R34" s="473"/>
      <c r="S34" s="157" t="s">
        <v>12</v>
      </c>
      <c r="T34" s="157" t="s">
        <v>13</v>
      </c>
      <c r="U34" s="157" t="s">
        <v>14</v>
      </c>
      <c r="V34" s="157" t="s">
        <v>15</v>
      </c>
      <c r="W34" s="157" t="s">
        <v>16</v>
      </c>
      <c r="X34" s="158"/>
      <c r="Y34" s="156" t="s">
        <v>405</v>
      </c>
      <c r="Z34" s="473" t="s">
        <v>1030</v>
      </c>
      <c r="AA34" s="473"/>
      <c r="AB34" s="473"/>
      <c r="AC34" s="473"/>
      <c r="AD34" s="473"/>
      <c r="AE34" s="157" t="s">
        <v>12</v>
      </c>
      <c r="AF34" s="157" t="s">
        <v>13</v>
      </c>
      <c r="AG34" s="157" t="s">
        <v>14</v>
      </c>
      <c r="AH34" s="157" t="s">
        <v>15</v>
      </c>
      <c r="AI34" s="157" t="s">
        <v>16</v>
      </c>
    </row>
    <row r="35" spans="1:35" ht="24" customHeight="1" x14ac:dyDescent="0.2">
      <c r="A35" s="159" t="str">
        <f>+'EQUIPE A 3'!C11</f>
        <v xml:space="preserve"> </v>
      </c>
      <c r="B35" s="131"/>
      <c r="C35" s="131"/>
      <c r="D35" s="131"/>
      <c r="E35" s="131"/>
      <c r="F35" s="131"/>
      <c r="G35" s="141"/>
      <c r="H35" s="141"/>
      <c r="I35" s="141"/>
      <c r="J35" s="141"/>
      <c r="K35" s="141"/>
      <c r="L35" s="155"/>
      <c r="M35" s="159" t="str">
        <f>+'EQUIPE A 3'!C10</f>
        <v xml:space="preserve"> </v>
      </c>
      <c r="N35" s="131"/>
      <c r="O35" s="131"/>
      <c r="P35" s="131"/>
      <c r="Q35" s="131"/>
      <c r="R35" s="131"/>
      <c r="S35" s="141"/>
      <c r="T35" s="141"/>
      <c r="U35" s="141"/>
      <c r="V35" s="141"/>
      <c r="W35" s="141"/>
      <c r="X35" s="155"/>
      <c r="Y35" s="159" t="str">
        <f>+'EQUIPE A 3'!C11</f>
        <v xml:space="preserve"> </v>
      </c>
      <c r="Z35" s="131"/>
      <c r="AA35" s="131"/>
      <c r="AB35" s="131"/>
      <c r="AC35" s="131"/>
      <c r="AD35" s="131"/>
      <c r="AE35" s="141"/>
      <c r="AF35" s="141"/>
      <c r="AG35" s="141"/>
      <c r="AH35" s="141"/>
      <c r="AI35" s="141"/>
    </row>
    <row r="36" spans="1:35" ht="18" customHeight="1" x14ac:dyDescent="0.2">
      <c r="A36" s="184" t="str">
        <f>+'EQUIPE A 3'!I11</f>
        <v/>
      </c>
      <c r="B36" s="131"/>
      <c r="C36" s="131"/>
      <c r="D36" s="131"/>
      <c r="E36" s="131"/>
      <c r="F36" s="131"/>
      <c r="G36" s="143"/>
      <c r="H36" s="143"/>
      <c r="I36" s="143"/>
      <c r="J36" s="143"/>
      <c r="K36" s="143"/>
      <c r="L36" s="155"/>
      <c r="M36" s="184" t="str">
        <f>+'EQUIPE A 3'!I10</f>
        <v/>
      </c>
      <c r="N36" s="131"/>
      <c r="O36" s="131"/>
      <c r="P36" s="131"/>
      <c r="Q36" s="131"/>
      <c r="R36" s="131"/>
      <c r="S36" s="143"/>
      <c r="T36" s="143"/>
      <c r="U36" s="143"/>
      <c r="V36" s="143"/>
      <c r="W36" s="143"/>
      <c r="X36" s="155"/>
      <c r="Y36" s="184" t="str">
        <f>+'EQUIPE A 3'!I11</f>
        <v/>
      </c>
      <c r="Z36" s="131"/>
      <c r="AA36" s="131"/>
      <c r="AB36" s="131"/>
      <c r="AC36" s="131"/>
      <c r="AD36" s="131"/>
      <c r="AE36" s="143"/>
      <c r="AF36" s="143"/>
      <c r="AG36" s="143"/>
      <c r="AH36" s="143"/>
      <c r="AI36" s="143"/>
    </row>
    <row r="37" spans="1:35" ht="15.75" customHeight="1" x14ac:dyDescent="0.2">
      <c r="A37" s="142" t="s">
        <v>156</v>
      </c>
      <c r="B37" s="131"/>
      <c r="C37" s="131"/>
      <c r="D37" s="131"/>
      <c r="E37" s="131"/>
      <c r="F37" s="131"/>
      <c r="G37" s="131"/>
      <c r="H37" s="131"/>
      <c r="I37" s="131"/>
      <c r="J37" s="131"/>
      <c r="K37" s="140"/>
      <c r="L37" s="155"/>
      <c r="M37" s="142" t="s">
        <v>156</v>
      </c>
      <c r="N37" s="131"/>
      <c r="O37" s="131"/>
      <c r="P37" s="131"/>
      <c r="Q37" s="131"/>
      <c r="R37" s="131"/>
      <c r="S37" s="131"/>
      <c r="T37" s="131"/>
      <c r="U37" s="131"/>
      <c r="V37" s="131"/>
      <c r="W37" s="140"/>
      <c r="X37" s="155"/>
      <c r="Y37" s="142" t="s">
        <v>156</v>
      </c>
      <c r="Z37" s="130"/>
      <c r="AA37" s="130"/>
      <c r="AB37" s="130"/>
      <c r="AC37" s="131"/>
      <c r="AD37" s="131"/>
      <c r="AE37" s="131"/>
      <c r="AF37" s="131"/>
      <c r="AG37" s="131"/>
      <c r="AH37" s="131"/>
      <c r="AI37" s="140"/>
    </row>
    <row r="38" spans="1:35" ht="24" customHeight="1" x14ac:dyDescent="0.2">
      <c r="A38" s="159" t="str">
        <f>+'EQUIPE A 3'!Q10</f>
        <v xml:space="preserve"> </v>
      </c>
      <c r="B38" s="131"/>
      <c r="C38" s="131"/>
      <c r="D38" s="131"/>
      <c r="E38" s="131"/>
      <c r="F38" s="131"/>
      <c r="G38" s="141"/>
      <c r="H38" s="141"/>
      <c r="I38" s="141"/>
      <c r="J38" s="141"/>
      <c r="K38" s="141"/>
      <c r="L38" s="155"/>
      <c r="M38" s="159" t="str">
        <f>+'EQUIPE A 3'!Q11</f>
        <v xml:space="preserve"> </v>
      </c>
      <c r="N38" s="131"/>
      <c r="O38" s="131"/>
      <c r="P38" s="131"/>
      <c r="Q38" s="131"/>
      <c r="R38" s="131"/>
      <c r="S38" s="141"/>
      <c r="T38" s="141"/>
      <c r="U38" s="141"/>
      <c r="V38" s="141"/>
      <c r="W38" s="141"/>
      <c r="X38" s="155"/>
      <c r="Y38" s="159" t="str">
        <f>+'EQUIPE A 3'!Q9</f>
        <v xml:space="preserve"> </v>
      </c>
      <c r="Z38" s="150"/>
      <c r="AA38" s="131"/>
      <c r="AB38" s="131"/>
      <c r="AC38" s="131"/>
      <c r="AD38" s="131"/>
      <c r="AE38" s="141"/>
      <c r="AF38" s="141"/>
      <c r="AG38" s="141"/>
      <c r="AH38" s="141"/>
      <c r="AI38" s="141"/>
    </row>
    <row r="39" spans="1:35" ht="18" customHeight="1" x14ac:dyDescent="0.2">
      <c r="A39" s="184" t="str">
        <f>+'EQUIPE A 3'!X10</f>
        <v/>
      </c>
      <c r="B39" s="131"/>
      <c r="C39" s="131"/>
      <c r="D39" s="131"/>
      <c r="E39" s="131"/>
      <c r="F39" s="131"/>
      <c r="G39" s="143"/>
      <c r="H39" s="143"/>
      <c r="I39" s="143"/>
      <c r="J39" s="143"/>
      <c r="K39" s="143"/>
      <c r="L39" s="155"/>
      <c r="M39" s="185" t="str">
        <f>+'EQUIPE A 3'!X11</f>
        <v/>
      </c>
      <c r="N39" s="131"/>
      <c r="O39" s="131"/>
      <c r="P39" s="131"/>
      <c r="Q39" s="131"/>
      <c r="R39" s="131"/>
      <c r="S39" s="143"/>
      <c r="T39" s="143"/>
      <c r="U39" s="143"/>
      <c r="V39" s="143"/>
      <c r="W39" s="143"/>
      <c r="X39" s="155"/>
      <c r="Y39" s="184" t="str">
        <f>+'EQUIPE A 3'!X9</f>
        <v/>
      </c>
      <c r="Z39" s="131"/>
      <c r="AA39" s="131"/>
      <c r="AB39" s="131"/>
      <c r="AC39" s="131"/>
      <c r="AD39" s="131"/>
      <c r="AE39" s="143"/>
      <c r="AF39" s="143"/>
      <c r="AG39" s="143"/>
      <c r="AH39" s="143"/>
      <c r="AI39" s="143"/>
    </row>
    <row r="40" spans="1:35" ht="21" customHeight="1" x14ac:dyDescent="0.2">
      <c r="A40" s="144" t="s">
        <v>406</v>
      </c>
      <c r="B40" s="131"/>
      <c r="C40" s="131"/>
      <c r="D40" s="131"/>
      <c r="E40" s="131"/>
      <c r="F40" s="131"/>
      <c r="G40" s="131"/>
      <c r="H40" s="131"/>
      <c r="I40" s="131"/>
      <c r="J40" s="131"/>
      <c r="K40" s="139"/>
      <c r="L40" s="155"/>
      <c r="M40" s="144" t="s">
        <v>406</v>
      </c>
      <c r="N40" s="131"/>
      <c r="O40" s="131"/>
      <c r="P40" s="131"/>
      <c r="Q40" s="131"/>
      <c r="R40" s="131"/>
      <c r="S40" s="131"/>
      <c r="T40" s="131"/>
      <c r="U40" s="131"/>
      <c r="V40" s="131"/>
      <c r="W40" s="139"/>
      <c r="X40" s="155"/>
      <c r="Y40" s="144" t="s">
        <v>406</v>
      </c>
      <c r="Z40" s="145"/>
      <c r="AA40" s="145"/>
      <c r="AB40" s="145"/>
      <c r="AC40" s="131"/>
      <c r="AD40" s="131"/>
      <c r="AE40" s="131"/>
      <c r="AF40" s="131"/>
      <c r="AG40" s="131"/>
      <c r="AH40" s="131"/>
      <c r="AI40" s="139"/>
    </row>
    <row r="41" spans="1:35" ht="21" customHeight="1" x14ac:dyDescent="0.2">
      <c r="A41" s="146"/>
      <c r="B41" s="147"/>
      <c r="C41" s="147"/>
      <c r="D41" s="147"/>
      <c r="E41" s="147"/>
      <c r="F41" s="147"/>
      <c r="G41" s="147"/>
      <c r="H41" s="147"/>
      <c r="I41" s="147"/>
      <c r="J41" s="147"/>
      <c r="K41" s="148"/>
      <c r="L41" s="155"/>
      <c r="M41" s="146"/>
      <c r="N41" s="147"/>
      <c r="O41" s="147"/>
      <c r="P41" s="147"/>
      <c r="Q41" s="147"/>
      <c r="R41" s="147"/>
      <c r="S41" s="147"/>
      <c r="T41" s="147"/>
      <c r="U41" s="147"/>
      <c r="V41" s="147"/>
      <c r="W41" s="148"/>
      <c r="X41" s="155"/>
      <c r="Y41" s="146"/>
      <c r="Z41" s="147"/>
      <c r="AA41" s="147"/>
      <c r="AB41" s="147"/>
      <c r="AC41" s="147"/>
      <c r="AD41" s="147"/>
      <c r="AE41" s="147"/>
      <c r="AF41" s="147"/>
      <c r="AG41" s="147"/>
      <c r="AH41" s="147"/>
      <c r="AI41" s="148"/>
    </row>
    <row r="42" spans="1:35" ht="2" customHeight="1" x14ac:dyDescent="0.2">
      <c r="A42" s="155"/>
      <c r="B42" s="155"/>
      <c r="C42" s="155"/>
      <c r="D42" s="155"/>
      <c r="E42" s="155"/>
      <c r="F42" s="155"/>
      <c r="G42" s="155"/>
      <c r="H42" s="155"/>
      <c r="I42" s="155"/>
      <c r="J42" s="155"/>
      <c r="K42" s="155"/>
      <c r="L42" s="155"/>
      <c r="M42" s="155"/>
      <c r="N42" s="155"/>
      <c r="O42" s="155"/>
      <c r="P42" s="155"/>
      <c r="Q42" s="155"/>
      <c r="R42" s="155"/>
      <c r="S42" s="155"/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  <c r="AF42" s="155"/>
      <c r="AG42" s="155"/>
      <c r="AH42" s="155"/>
      <c r="AI42" s="155"/>
    </row>
    <row r="43" spans="1:35" ht="21" customHeight="1" x14ac:dyDescent="0.25">
      <c r="A43" s="476" t="str">
        <f>A1</f>
        <v>UFOLEP 77 – Championnat départemental à 3 - 2025 - 2026</v>
      </c>
      <c r="B43" s="476"/>
      <c r="C43" s="476"/>
      <c r="D43" s="476"/>
      <c r="E43" s="476"/>
      <c r="F43" s="476"/>
      <c r="G43" s="476"/>
      <c r="H43" s="476"/>
      <c r="I43" s="476"/>
      <c r="J43" s="476"/>
      <c r="K43" s="476"/>
      <c r="L43" s="151"/>
      <c r="M43" s="469" t="s">
        <v>437</v>
      </c>
      <c r="N43" s="469"/>
      <c r="O43" s="469"/>
      <c r="P43" s="469"/>
      <c r="Q43" s="469"/>
      <c r="R43" s="469"/>
      <c r="S43" s="469"/>
      <c r="T43" s="469"/>
      <c r="U43" s="469"/>
      <c r="V43" s="469"/>
      <c r="W43" s="469"/>
      <c r="X43" s="151"/>
      <c r="Y43" s="469" t="s">
        <v>437</v>
      </c>
      <c r="Z43" s="469"/>
      <c r="AA43" s="469"/>
      <c r="AB43" s="469"/>
      <c r="AC43" s="469"/>
      <c r="AD43" s="469"/>
      <c r="AE43" s="469"/>
      <c r="AF43" s="469"/>
      <c r="AG43" s="469"/>
      <c r="AH43" s="469"/>
      <c r="AI43" s="469"/>
    </row>
    <row r="44" spans="1:35" ht="21" customHeight="1" x14ac:dyDescent="0.25">
      <c r="A44" s="129"/>
      <c r="B44" s="470">
        <f>+B2</f>
        <v>0</v>
      </c>
      <c r="C44" s="470"/>
      <c r="D44" s="470"/>
      <c r="E44" s="470"/>
      <c r="F44" s="470"/>
      <c r="G44" s="130" t="s">
        <v>28</v>
      </c>
      <c r="H44" s="133">
        <f>+H2</f>
        <v>0</v>
      </c>
      <c r="I44" s="149" t="s">
        <v>523</v>
      </c>
      <c r="J44" s="477">
        <f>+J2</f>
        <v>0</v>
      </c>
      <c r="K44" s="478">
        <f>+' EQUIPE A 4'!$R$3</f>
        <v>0</v>
      </c>
      <c r="L44" s="152"/>
      <c r="M44" s="129"/>
      <c r="N44" s="470" t="s">
        <v>437</v>
      </c>
      <c r="O44" s="470"/>
      <c r="P44" s="470"/>
      <c r="Q44" s="470"/>
      <c r="R44" s="470"/>
      <c r="S44" s="130" t="s">
        <v>28</v>
      </c>
      <c r="T44" s="133" t="s">
        <v>437</v>
      </c>
      <c r="U44" s="149" t="s">
        <v>523</v>
      </c>
      <c r="V44" s="477"/>
      <c r="W44" s="478" t="s">
        <v>437</v>
      </c>
      <c r="X44" s="152"/>
      <c r="Y44" s="129"/>
      <c r="Z44" s="131"/>
      <c r="AA44" s="131"/>
      <c r="AB44" s="131"/>
      <c r="AC44" s="470"/>
      <c r="AD44" s="470"/>
      <c r="AE44" s="130" t="s">
        <v>28</v>
      </c>
      <c r="AF44" s="133"/>
      <c r="AG44" s="149" t="s">
        <v>523</v>
      </c>
      <c r="AH44" s="477"/>
      <c r="AI44" s="478"/>
    </row>
    <row r="45" spans="1:35" ht="21" customHeight="1" x14ac:dyDescent="0.2">
      <c r="A45" s="475" t="str">
        <f>+A3</f>
        <v xml:space="preserve"> </v>
      </c>
      <c r="B45" s="475"/>
      <c r="C45" s="475"/>
      <c r="D45" s="475"/>
      <c r="E45" s="475"/>
      <c r="F45" s="475"/>
      <c r="G45" s="153" t="s">
        <v>426</v>
      </c>
      <c r="H45" s="468" t="str">
        <f>+' EQUIPE A 4'!$N$6&amp;" "&amp;' EQUIPE A 4'!$R$6</f>
        <v xml:space="preserve"> </v>
      </c>
      <c r="I45" s="468"/>
      <c r="J45" s="468"/>
      <c r="K45" s="468"/>
      <c r="L45" s="160"/>
      <c r="M45" s="475" t="s">
        <v>437</v>
      </c>
      <c r="N45" s="475"/>
      <c r="O45" s="475"/>
      <c r="P45" s="475"/>
      <c r="Q45" s="475"/>
      <c r="R45" s="475"/>
      <c r="S45" s="147" t="s">
        <v>426</v>
      </c>
      <c r="T45" s="468" t="s">
        <v>437</v>
      </c>
      <c r="U45" s="468"/>
      <c r="V45" s="468"/>
      <c r="W45" s="468"/>
      <c r="X45" s="160"/>
      <c r="Y45" s="475" t="s">
        <v>437</v>
      </c>
      <c r="Z45" s="475"/>
      <c r="AA45" s="475"/>
      <c r="AB45" s="475"/>
      <c r="AC45" s="475"/>
      <c r="AD45" s="475"/>
      <c r="AE45" s="153" t="s">
        <v>426</v>
      </c>
      <c r="AF45" s="468" t="s">
        <v>437</v>
      </c>
      <c r="AG45" s="468"/>
      <c r="AH45" s="468"/>
      <c r="AI45" s="468"/>
    </row>
    <row r="46" spans="1:35" ht="21" customHeight="1" thickBot="1" x14ac:dyDescent="0.25">
      <c r="A46" s="134" t="s">
        <v>29</v>
      </c>
      <c r="B46" s="471" t="str">
        <f>+B4</f>
        <v/>
      </c>
      <c r="C46" s="471"/>
      <c r="D46" s="471"/>
      <c r="E46" s="471"/>
      <c r="F46" s="471"/>
      <c r="G46" s="135"/>
      <c r="H46" s="136" t="s">
        <v>407</v>
      </c>
      <c r="I46" s="135"/>
      <c r="J46" s="135"/>
      <c r="K46" s="137"/>
      <c r="L46" s="155"/>
      <c r="M46" s="134" t="s">
        <v>29</v>
      </c>
      <c r="N46" s="472" t="s">
        <v>437</v>
      </c>
      <c r="O46" s="472"/>
      <c r="P46" s="472"/>
      <c r="Q46" s="472"/>
      <c r="R46" s="472"/>
      <c r="S46" s="135"/>
      <c r="T46" s="136" t="s">
        <v>407</v>
      </c>
      <c r="U46" s="135"/>
      <c r="V46" s="135"/>
      <c r="W46" s="137"/>
      <c r="X46" s="155"/>
      <c r="Y46" s="134" t="s">
        <v>29</v>
      </c>
      <c r="Z46" s="472" t="s">
        <v>437</v>
      </c>
      <c r="AA46" s="472"/>
      <c r="AB46" s="472"/>
      <c r="AC46" s="472"/>
      <c r="AD46" s="472"/>
      <c r="AE46" s="135"/>
      <c r="AF46" s="136" t="s">
        <v>407</v>
      </c>
      <c r="AG46" s="135"/>
      <c r="AH46" s="135"/>
      <c r="AI46" s="137"/>
    </row>
    <row r="47" spans="1:35" ht="21" customHeight="1" thickTop="1" x14ac:dyDescent="0.2">
      <c r="A47" s="129"/>
      <c r="B47" s="138"/>
      <c r="C47" s="138"/>
      <c r="D47" s="138"/>
      <c r="E47" s="138"/>
      <c r="F47" s="131"/>
      <c r="G47" s="131" t="s">
        <v>1021</v>
      </c>
      <c r="H47" s="131"/>
      <c r="I47" s="131"/>
      <c r="J47" s="131"/>
      <c r="K47" s="139"/>
      <c r="L47" s="155"/>
      <c r="M47" s="129"/>
      <c r="N47" s="138"/>
      <c r="O47" s="138"/>
      <c r="P47" s="138"/>
      <c r="Q47" s="138"/>
      <c r="R47" s="131"/>
      <c r="S47" s="131" t="s">
        <v>1021</v>
      </c>
      <c r="T47" s="131"/>
      <c r="U47" s="131"/>
      <c r="V47" s="131"/>
      <c r="W47" s="139"/>
      <c r="X47" s="155"/>
      <c r="Y47" s="129"/>
      <c r="Z47" s="131"/>
      <c r="AA47" s="131"/>
      <c r="AB47" s="131"/>
      <c r="AC47" s="138"/>
      <c r="AD47" s="131"/>
      <c r="AE47" s="131" t="s">
        <v>1021</v>
      </c>
      <c r="AF47" s="131"/>
      <c r="AG47" s="131"/>
      <c r="AH47" s="131"/>
      <c r="AI47" s="139"/>
    </row>
    <row r="48" spans="1:35" ht="21" customHeight="1" x14ac:dyDescent="0.25">
      <c r="A48" s="156" t="s">
        <v>405</v>
      </c>
      <c r="B48" s="473" t="s">
        <v>1031</v>
      </c>
      <c r="C48" s="473"/>
      <c r="D48" s="473"/>
      <c r="E48" s="473"/>
      <c r="F48" s="473"/>
      <c r="G48" s="157" t="s">
        <v>12</v>
      </c>
      <c r="H48" s="157" t="s">
        <v>13</v>
      </c>
      <c r="I48" s="157" t="s">
        <v>14</v>
      </c>
      <c r="J48" s="157" t="s">
        <v>15</v>
      </c>
      <c r="K48" s="157" t="s">
        <v>16</v>
      </c>
      <c r="L48" s="158"/>
      <c r="M48" s="156" t="s">
        <v>405</v>
      </c>
      <c r="N48" s="474"/>
      <c r="O48" s="474"/>
      <c r="P48" s="474"/>
      <c r="Q48" s="474"/>
      <c r="R48" s="474"/>
      <c r="S48" s="157" t="s">
        <v>12</v>
      </c>
      <c r="T48" s="157" t="s">
        <v>13</v>
      </c>
      <c r="U48" s="157" t="s">
        <v>14</v>
      </c>
      <c r="V48" s="157" t="s">
        <v>15</v>
      </c>
      <c r="W48" s="157" t="s">
        <v>16</v>
      </c>
      <c r="X48" s="158"/>
      <c r="Y48" s="156" t="s">
        <v>405</v>
      </c>
      <c r="Z48" s="474"/>
      <c r="AA48" s="474"/>
      <c r="AB48" s="474"/>
      <c r="AC48" s="474"/>
      <c r="AD48" s="474"/>
      <c r="AE48" s="157" t="s">
        <v>12</v>
      </c>
      <c r="AF48" s="157" t="s">
        <v>13</v>
      </c>
      <c r="AG48" s="157" t="s">
        <v>14</v>
      </c>
      <c r="AH48" s="157" t="s">
        <v>15</v>
      </c>
      <c r="AI48" s="157" t="s">
        <v>16</v>
      </c>
    </row>
    <row r="49" spans="1:35" ht="24" customHeight="1" x14ac:dyDescent="0.2">
      <c r="A49" s="159" t="str">
        <f>+Y21</f>
        <v xml:space="preserve"> </v>
      </c>
      <c r="B49" s="131"/>
      <c r="C49" s="131"/>
      <c r="D49" s="131"/>
      <c r="E49" s="131"/>
      <c r="F49" s="131"/>
      <c r="G49" s="141"/>
      <c r="H49" s="141"/>
      <c r="I49" s="141"/>
      <c r="J49" s="141"/>
      <c r="K49" s="141"/>
      <c r="L49" s="155"/>
      <c r="M49" s="129"/>
      <c r="N49" s="131"/>
      <c r="O49" s="131"/>
      <c r="P49" s="131"/>
      <c r="Q49" s="131"/>
      <c r="R49" s="131"/>
      <c r="S49" s="141"/>
      <c r="T49" s="141"/>
      <c r="U49" s="141"/>
      <c r="V49" s="141"/>
      <c r="W49" s="141"/>
      <c r="X49" s="155"/>
      <c r="Y49" s="129"/>
      <c r="Z49" s="131"/>
      <c r="AA49" s="131"/>
      <c r="AB49" s="131"/>
      <c r="AC49" s="131"/>
      <c r="AD49" s="131"/>
      <c r="AE49" s="141"/>
      <c r="AF49" s="141"/>
      <c r="AG49" s="141"/>
      <c r="AH49" s="141"/>
      <c r="AI49" s="141"/>
    </row>
    <row r="50" spans="1:35" ht="24" customHeight="1" x14ac:dyDescent="0.2">
      <c r="A50" s="163" t="str">
        <f>Y22</f>
        <v/>
      </c>
      <c r="B50" s="131"/>
      <c r="C50" s="131"/>
      <c r="D50" s="131"/>
      <c r="E50" s="131"/>
      <c r="F50" s="131"/>
      <c r="G50" s="143"/>
      <c r="H50" s="143"/>
      <c r="I50" s="143"/>
      <c r="J50" s="143"/>
      <c r="K50" s="143"/>
      <c r="L50" s="155"/>
      <c r="M50" s="161"/>
      <c r="N50" s="131"/>
      <c r="O50" s="131"/>
      <c r="P50" s="131"/>
      <c r="Q50" s="131"/>
      <c r="R50" s="131"/>
      <c r="S50" s="143"/>
      <c r="T50" s="143"/>
      <c r="U50" s="143"/>
      <c r="V50" s="143"/>
      <c r="W50" s="143"/>
      <c r="X50" s="155"/>
      <c r="Y50" s="161"/>
      <c r="Z50" s="131"/>
      <c r="AA50" s="131"/>
      <c r="AB50" s="131"/>
      <c r="AC50" s="131"/>
      <c r="AD50" s="131"/>
      <c r="AE50" s="143"/>
      <c r="AF50" s="143"/>
      <c r="AG50" s="143"/>
      <c r="AH50" s="143"/>
      <c r="AI50" s="143"/>
    </row>
    <row r="51" spans="1:35" x14ac:dyDescent="0.2">
      <c r="A51" s="142" t="s">
        <v>156</v>
      </c>
      <c r="B51" s="131"/>
      <c r="C51" s="131"/>
      <c r="D51" s="131"/>
      <c r="E51" s="131"/>
      <c r="F51" s="131"/>
      <c r="G51" s="131"/>
      <c r="H51" s="131"/>
      <c r="I51" s="131"/>
      <c r="J51" s="131"/>
      <c r="K51" s="140"/>
      <c r="L51" s="155"/>
      <c r="M51" s="142" t="s">
        <v>156</v>
      </c>
      <c r="N51" s="131"/>
      <c r="O51" s="131"/>
      <c r="P51" s="131"/>
      <c r="Q51" s="131"/>
      <c r="R51" s="131"/>
      <c r="S51" s="131"/>
      <c r="T51" s="131"/>
      <c r="U51" s="131"/>
      <c r="V51" s="131"/>
      <c r="W51" s="140"/>
      <c r="X51" s="155"/>
      <c r="Y51" s="142" t="s">
        <v>156</v>
      </c>
      <c r="Z51" s="130"/>
      <c r="AA51" s="130"/>
      <c r="AB51" s="130"/>
      <c r="AC51" s="131"/>
      <c r="AD51" s="131"/>
      <c r="AE51" s="131"/>
      <c r="AF51" s="131"/>
      <c r="AG51" s="131"/>
      <c r="AH51" s="131"/>
      <c r="AI51" s="140"/>
    </row>
    <row r="52" spans="1:35" ht="24" customHeight="1" x14ac:dyDescent="0.2">
      <c r="A52" s="159" t="str">
        <f>+A38</f>
        <v xml:space="preserve"> </v>
      </c>
      <c r="B52" s="131"/>
      <c r="C52" s="131"/>
      <c r="D52" s="131"/>
      <c r="E52" s="131"/>
      <c r="F52" s="131"/>
      <c r="G52" s="141"/>
      <c r="H52" s="141"/>
      <c r="I52" s="141"/>
      <c r="J52" s="141"/>
      <c r="K52" s="141"/>
      <c r="L52" s="155"/>
      <c r="M52" s="129"/>
      <c r="N52" s="131"/>
      <c r="O52" s="131"/>
      <c r="P52" s="131"/>
      <c r="Q52" s="131"/>
      <c r="R52" s="131"/>
      <c r="S52" s="141"/>
      <c r="T52" s="141"/>
      <c r="U52" s="141"/>
      <c r="V52" s="141"/>
      <c r="W52" s="141"/>
      <c r="X52" s="155"/>
      <c r="Y52" s="129"/>
      <c r="Z52" s="131"/>
      <c r="AA52" s="131"/>
      <c r="AB52" s="131"/>
      <c r="AC52" s="131"/>
      <c r="AD52" s="131"/>
      <c r="AE52" s="141"/>
      <c r="AF52" s="141"/>
      <c r="AG52" s="141"/>
      <c r="AH52" s="141"/>
      <c r="AI52" s="141"/>
    </row>
    <row r="53" spans="1:35" ht="24" customHeight="1" x14ac:dyDescent="0.2">
      <c r="A53" s="163" t="str">
        <f>+A39</f>
        <v/>
      </c>
      <c r="B53" s="131"/>
      <c r="C53" s="131"/>
      <c r="D53" s="131"/>
      <c r="E53" s="131"/>
      <c r="F53" s="131"/>
      <c r="G53" s="143"/>
      <c r="H53" s="143"/>
      <c r="I53" s="143"/>
      <c r="J53" s="143"/>
      <c r="K53" s="143"/>
      <c r="L53" s="155"/>
      <c r="M53" s="129"/>
      <c r="N53" s="131"/>
      <c r="O53" s="131"/>
      <c r="P53" s="131"/>
      <c r="Q53" s="131"/>
      <c r="R53" s="131"/>
      <c r="S53" s="143"/>
      <c r="T53" s="143"/>
      <c r="U53" s="143"/>
      <c r="V53" s="143"/>
      <c r="W53" s="143"/>
      <c r="X53" s="155"/>
      <c r="Y53" s="129"/>
      <c r="Z53" s="131"/>
      <c r="AA53" s="131"/>
      <c r="AB53" s="131"/>
      <c r="AC53" s="131"/>
      <c r="AD53" s="131"/>
      <c r="AE53" s="143"/>
      <c r="AF53" s="143"/>
      <c r="AG53" s="143"/>
      <c r="AH53" s="143"/>
      <c r="AI53" s="143"/>
    </row>
    <row r="54" spans="1:35" ht="21" customHeight="1" x14ac:dyDescent="0.2">
      <c r="A54" s="144" t="s">
        <v>406</v>
      </c>
      <c r="B54" s="131"/>
      <c r="C54" s="131"/>
      <c r="D54" s="131"/>
      <c r="E54" s="131"/>
      <c r="F54" s="131"/>
      <c r="G54" s="131"/>
      <c r="H54" s="131"/>
      <c r="I54" s="131"/>
      <c r="J54" s="131"/>
      <c r="K54" s="139"/>
      <c r="L54" s="155"/>
      <c r="M54" s="144" t="s">
        <v>406</v>
      </c>
      <c r="N54" s="131"/>
      <c r="O54" s="131"/>
      <c r="P54" s="131"/>
      <c r="Q54" s="131"/>
      <c r="R54" s="131"/>
      <c r="S54" s="131"/>
      <c r="T54" s="131"/>
      <c r="U54" s="131"/>
      <c r="V54" s="131"/>
      <c r="W54" s="139"/>
      <c r="X54" s="155"/>
      <c r="Y54" s="144" t="s">
        <v>406</v>
      </c>
      <c r="Z54" s="145"/>
      <c r="AA54" s="145"/>
      <c r="AB54" s="145"/>
      <c r="AC54" s="131"/>
      <c r="AD54" s="131"/>
      <c r="AE54" s="131"/>
      <c r="AF54" s="131"/>
      <c r="AG54" s="131"/>
      <c r="AH54" s="131"/>
      <c r="AI54" s="139"/>
    </row>
    <row r="55" spans="1:35" ht="21" customHeight="1" x14ac:dyDescent="0.2">
      <c r="A55" s="146"/>
      <c r="B55" s="147"/>
      <c r="C55" s="147"/>
      <c r="D55" s="147"/>
      <c r="E55" s="147"/>
      <c r="F55" s="147"/>
      <c r="G55" s="147"/>
      <c r="H55" s="147"/>
      <c r="I55" s="147"/>
      <c r="J55" s="147"/>
      <c r="K55" s="148"/>
      <c r="L55" s="155"/>
      <c r="M55" s="146"/>
      <c r="N55" s="147"/>
      <c r="O55" s="147"/>
      <c r="P55" s="147"/>
      <c r="Q55" s="147"/>
      <c r="R55" s="147"/>
      <c r="S55" s="147"/>
      <c r="T55" s="147"/>
      <c r="U55" s="147"/>
      <c r="V55" s="147"/>
      <c r="W55" s="148"/>
      <c r="X55" s="155"/>
      <c r="Y55" s="146"/>
      <c r="Z55" s="147"/>
      <c r="AA55" s="147"/>
      <c r="AB55" s="147"/>
      <c r="AC55" s="147"/>
      <c r="AD55" s="147"/>
      <c r="AE55" s="147"/>
      <c r="AF55" s="147"/>
      <c r="AG55" s="147"/>
      <c r="AH55" s="147"/>
      <c r="AI55" s="148"/>
    </row>
    <row r="56" spans="1:35" ht="2" customHeight="1" x14ac:dyDescent="0.2">
      <c r="A56" s="155"/>
      <c r="B56" s="155"/>
      <c r="C56" s="155"/>
      <c r="D56" s="155"/>
      <c r="E56" s="155"/>
      <c r="F56" s="155"/>
      <c r="G56" s="155"/>
      <c r="H56" s="155"/>
      <c r="I56" s="155"/>
      <c r="J56" s="155"/>
      <c r="K56" s="155"/>
      <c r="L56" s="155"/>
      <c r="M56" s="155"/>
      <c r="N56" s="155"/>
      <c r="O56" s="155"/>
      <c r="P56" s="155"/>
      <c r="Q56" s="155"/>
      <c r="R56" s="155"/>
      <c r="S56" s="155"/>
      <c r="T56" s="155"/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  <c r="AF56" s="155"/>
      <c r="AG56" s="155"/>
      <c r="AH56" s="155"/>
      <c r="AI56" s="155"/>
    </row>
    <row r="57" spans="1:35" ht="21" customHeight="1" x14ac:dyDescent="0.2">
      <c r="A57" s="469" t="s">
        <v>437</v>
      </c>
      <c r="B57" s="469"/>
      <c r="C57" s="469"/>
      <c r="D57" s="469"/>
      <c r="E57" s="469"/>
      <c r="F57" s="469"/>
      <c r="G57" s="469"/>
      <c r="H57" s="469"/>
      <c r="I57" s="469"/>
      <c r="J57" s="469"/>
      <c r="K57" s="469"/>
      <c r="L57" s="151"/>
      <c r="M57" s="469" t="s">
        <v>437</v>
      </c>
      <c r="N57" s="469"/>
      <c r="O57" s="469"/>
      <c r="P57" s="469"/>
      <c r="Q57" s="469"/>
      <c r="R57" s="469"/>
      <c r="S57" s="469"/>
      <c r="T57" s="469"/>
      <c r="U57" s="469"/>
      <c r="V57" s="469"/>
      <c r="W57" s="469"/>
      <c r="X57" s="151"/>
      <c r="Y57" s="469" t="s">
        <v>437</v>
      </c>
      <c r="Z57" s="469"/>
      <c r="AA57" s="469"/>
      <c r="AB57" s="469"/>
      <c r="AC57" s="469"/>
      <c r="AD57" s="469"/>
      <c r="AE57" s="469"/>
      <c r="AF57" s="469"/>
      <c r="AG57" s="469"/>
      <c r="AH57" s="469"/>
      <c r="AI57" s="469"/>
    </row>
    <row r="58" spans="1:35" ht="21" customHeight="1" x14ac:dyDescent="0.2">
      <c r="A58" s="129"/>
      <c r="B58" s="131"/>
      <c r="C58" s="131"/>
      <c r="D58" s="131"/>
      <c r="E58" s="470"/>
      <c r="F58" s="470"/>
      <c r="G58" s="130" t="s">
        <v>28</v>
      </c>
      <c r="H58" s="133"/>
      <c r="I58" s="131" t="s">
        <v>427</v>
      </c>
      <c r="J58" s="131"/>
      <c r="K58" s="132"/>
      <c r="L58" s="152"/>
      <c r="M58" s="129"/>
      <c r="N58" s="131"/>
      <c r="O58" s="131"/>
      <c r="P58" s="131"/>
      <c r="Q58" s="470"/>
      <c r="R58" s="470"/>
      <c r="S58" s="130" t="s">
        <v>28</v>
      </c>
      <c r="T58" s="133"/>
      <c r="U58" s="131" t="s">
        <v>427</v>
      </c>
      <c r="V58" s="131"/>
      <c r="W58" s="132"/>
      <c r="X58" s="152"/>
      <c r="Y58" s="129"/>
      <c r="Z58" s="131"/>
      <c r="AA58" s="131"/>
      <c r="AB58" s="131"/>
      <c r="AC58" s="470"/>
      <c r="AD58" s="470"/>
      <c r="AE58" s="130" t="s">
        <v>28</v>
      </c>
      <c r="AF58" s="133"/>
      <c r="AG58" s="131" t="s">
        <v>427</v>
      </c>
      <c r="AH58" s="131"/>
      <c r="AI58" s="132"/>
    </row>
    <row r="59" spans="1:35" ht="21" customHeight="1" x14ac:dyDescent="0.2">
      <c r="A59" s="475" t="s">
        <v>437</v>
      </c>
      <c r="B59" s="475"/>
      <c r="C59" s="475"/>
      <c r="D59" s="475"/>
      <c r="E59" s="475"/>
      <c r="F59" s="475"/>
      <c r="G59" s="153" t="s">
        <v>426</v>
      </c>
      <c r="H59" s="468" t="s">
        <v>437</v>
      </c>
      <c r="I59" s="468"/>
      <c r="J59" s="468"/>
      <c r="K59" s="468"/>
      <c r="L59" s="160"/>
      <c r="M59" s="475" t="s">
        <v>437</v>
      </c>
      <c r="N59" s="475"/>
      <c r="O59" s="475"/>
      <c r="P59" s="475"/>
      <c r="Q59" s="475"/>
      <c r="R59" s="475"/>
      <c r="S59" s="153" t="s">
        <v>426</v>
      </c>
      <c r="T59" s="468" t="s">
        <v>437</v>
      </c>
      <c r="U59" s="468"/>
      <c r="V59" s="468"/>
      <c r="W59" s="468"/>
      <c r="X59" s="160"/>
      <c r="Y59" s="475" t="s">
        <v>437</v>
      </c>
      <c r="Z59" s="475"/>
      <c r="AA59" s="475"/>
      <c r="AB59" s="475"/>
      <c r="AC59" s="475"/>
      <c r="AD59" s="475"/>
      <c r="AE59" s="153" t="s">
        <v>426</v>
      </c>
      <c r="AF59" s="468" t="s">
        <v>437</v>
      </c>
      <c r="AG59" s="468"/>
      <c r="AH59" s="468"/>
      <c r="AI59" s="468"/>
    </row>
    <row r="60" spans="1:35" ht="21" customHeight="1" thickBot="1" x14ac:dyDescent="0.25">
      <c r="A60" s="134" t="s">
        <v>29</v>
      </c>
      <c r="B60" s="472" t="s">
        <v>437</v>
      </c>
      <c r="C60" s="472"/>
      <c r="D60" s="472"/>
      <c r="E60" s="472"/>
      <c r="F60" s="472"/>
      <c r="G60" s="135"/>
      <c r="H60" s="136" t="s">
        <v>407</v>
      </c>
      <c r="I60" s="135"/>
      <c r="J60" s="135"/>
      <c r="K60" s="137"/>
      <c r="L60" s="155"/>
      <c r="M60" s="134" t="s">
        <v>29</v>
      </c>
      <c r="N60" s="472">
        <v>43382</v>
      </c>
      <c r="O60" s="472"/>
      <c r="P60" s="472"/>
      <c r="Q60" s="472">
        <v>43382</v>
      </c>
      <c r="R60" s="472"/>
      <c r="S60" s="135"/>
      <c r="T60" s="136" t="s">
        <v>407</v>
      </c>
      <c r="U60" s="135"/>
      <c r="V60" s="135"/>
      <c r="W60" s="137"/>
      <c r="X60" s="155"/>
      <c r="Y60" s="134" t="s">
        <v>29</v>
      </c>
      <c r="Z60" s="472" t="s">
        <v>437</v>
      </c>
      <c r="AA60" s="472"/>
      <c r="AB60" s="472"/>
      <c r="AC60" s="472">
        <v>43382</v>
      </c>
      <c r="AD60" s="472"/>
      <c r="AE60" s="135"/>
      <c r="AF60" s="136" t="s">
        <v>407</v>
      </c>
      <c r="AG60" s="135"/>
      <c r="AH60" s="135"/>
      <c r="AI60" s="137"/>
    </row>
    <row r="61" spans="1:35" ht="21" customHeight="1" thickTop="1" x14ac:dyDescent="0.2">
      <c r="A61" s="129"/>
      <c r="B61" s="131"/>
      <c r="C61" s="131"/>
      <c r="D61" s="131"/>
      <c r="E61" s="138"/>
      <c r="F61" s="131"/>
      <c r="G61" s="131" t="s">
        <v>1021</v>
      </c>
      <c r="H61" s="131"/>
      <c r="I61" s="131"/>
      <c r="J61" s="131"/>
      <c r="K61" s="139"/>
      <c r="L61" s="155"/>
      <c r="M61" s="129"/>
      <c r="N61" s="131"/>
      <c r="O61" s="131"/>
      <c r="P61" s="131"/>
      <c r="Q61" s="138"/>
      <c r="R61" s="131"/>
      <c r="S61" s="131" t="s">
        <v>1021</v>
      </c>
      <c r="T61" s="131"/>
      <c r="U61" s="131"/>
      <c r="V61" s="131"/>
      <c r="W61" s="139"/>
      <c r="X61" s="155"/>
      <c r="Y61" s="129"/>
      <c r="Z61" s="131"/>
      <c r="AA61" s="131"/>
      <c r="AB61" s="131"/>
      <c r="AC61" s="138"/>
      <c r="AD61" s="131"/>
      <c r="AE61" s="131" t="s">
        <v>1021</v>
      </c>
      <c r="AF61" s="131"/>
      <c r="AG61" s="131"/>
      <c r="AH61" s="131"/>
      <c r="AI61" s="139"/>
    </row>
    <row r="62" spans="1:35" ht="21" customHeight="1" x14ac:dyDescent="0.25">
      <c r="A62" s="156" t="s">
        <v>405</v>
      </c>
      <c r="B62" s="474"/>
      <c r="C62" s="474"/>
      <c r="D62" s="474"/>
      <c r="E62" s="474"/>
      <c r="F62" s="474"/>
      <c r="G62" s="157" t="s">
        <v>12</v>
      </c>
      <c r="H62" s="157" t="s">
        <v>13</v>
      </c>
      <c r="I62" s="157" t="s">
        <v>14</v>
      </c>
      <c r="J62" s="157" t="s">
        <v>15</v>
      </c>
      <c r="K62" s="157" t="s">
        <v>16</v>
      </c>
      <c r="L62" s="158"/>
      <c r="M62" s="156" t="s">
        <v>405</v>
      </c>
      <c r="N62" s="474"/>
      <c r="O62" s="474"/>
      <c r="P62" s="474"/>
      <c r="Q62" s="474"/>
      <c r="R62" s="474"/>
      <c r="S62" s="157" t="s">
        <v>12</v>
      </c>
      <c r="T62" s="157" t="s">
        <v>13</v>
      </c>
      <c r="U62" s="157" t="s">
        <v>14</v>
      </c>
      <c r="V62" s="157" t="s">
        <v>15</v>
      </c>
      <c r="W62" s="157" t="s">
        <v>16</v>
      </c>
      <c r="X62" s="158"/>
      <c r="Y62" s="156" t="s">
        <v>405</v>
      </c>
      <c r="Z62" s="474"/>
      <c r="AA62" s="474"/>
      <c r="AB62" s="474"/>
      <c r="AC62" s="474"/>
      <c r="AD62" s="474"/>
      <c r="AE62" s="157" t="s">
        <v>12</v>
      </c>
      <c r="AF62" s="157" t="s">
        <v>13</v>
      </c>
      <c r="AG62" s="157" t="s">
        <v>14</v>
      </c>
      <c r="AH62" s="157" t="s">
        <v>15</v>
      </c>
      <c r="AI62" s="157" t="s">
        <v>16</v>
      </c>
    </row>
    <row r="63" spans="1:35" ht="24" customHeight="1" x14ac:dyDescent="0.2">
      <c r="A63" s="161"/>
      <c r="B63" s="131"/>
      <c r="C63" s="131"/>
      <c r="D63" s="131"/>
      <c r="E63" s="131"/>
      <c r="F63" s="131"/>
      <c r="G63" s="141"/>
      <c r="H63" s="141"/>
      <c r="I63" s="141"/>
      <c r="J63" s="141"/>
      <c r="K63" s="141"/>
      <c r="L63" s="155"/>
      <c r="M63" s="161"/>
      <c r="N63" s="131"/>
      <c r="O63" s="131"/>
      <c r="P63" s="131"/>
      <c r="Q63" s="131"/>
      <c r="R63" s="131"/>
      <c r="S63" s="141"/>
      <c r="T63" s="141"/>
      <c r="U63" s="141"/>
      <c r="V63" s="141"/>
      <c r="W63" s="141"/>
      <c r="X63" s="155"/>
      <c r="Y63" s="161"/>
      <c r="Z63" s="131"/>
      <c r="AA63" s="131"/>
      <c r="AB63" s="131"/>
      <c r="AC63" s="131"/>
      <c r="AD63" s="131"/>
      <c r="AE63" s="141"/>
      <c r="AF63" s="141"/>
      <c r="AG63" s="141"/>
      <c r="AH63" s="141"/>
      <c r="AI63" s="141"/>
    </row>
    <row r="64" spans="1:35" ht="24" customHeight="1" x14ac:dyDescent="0.2">
      <c r="A64" s="161"/>
      <c r="B64" s="131"/>
      <c r="C64" s="131"/>
      <c r="D64" s="131"/>
      <c r="E64" s="131"/>
      <c r="F64" s="131"/>
      <c r="G64" s="143"/>
      <c r="H64" s="143"/>
      <c r="I64" s="143"/>
      <c r="J64" s="143"/>
      <c r="K64" s="143"/>
      <c r="L64" s="155"/>
      <c r="M64" s="161"/>
      <c r="N64" s="131"/>
      <c r="O64" s="131"/>
      <c r="P64" s="131"/>
      <c r="Q64" s="131"/>
      <c r="R64" s="131"/>
      <c r="S64" s="143"/>
      <c r="T64" s="143"/>
      <c r="U64" s="143"/>
      <c r="V64" s="143"/>
      <c r="W64" s="143"/>
      <c r="X64" s="155"/>
      <c r="Y64" s="161"/>
      <c r="Z64" s="131"/>
      <c r="AA64" s="131"/>
      <c r="AB64" s="131"/>
      <c r="AC64" s="131"/>
      <c r="AD64" s="131"/>
      <c r="AE64" s="143"/>
      <c r="AF64" s="143"/>
      <c r="AG64" s="143"/>
      <c r="AH64" s="143"/>
      <c r="AI64" s="143"/>
    </row>
    <row r="65" spans="1:35" x14ac:dyDescent="0.2">
      <c r="A65" s="142" t="s">
        <v>156</v>
      </c>
      <c r="B65" s="130"/>
      <c r="C65" s="130"/>
      <c r="D65" s="130"/>
      <c r="E65" s="131"/>
      <c r="F65" s="131"/>
      <c r="G65" s="131"/>
      <c r="H65" s="131"/>
      <c r="I65" s="131"/>
      <c r="J65" s="131"/>
      <c r="K65" s="140"/>
      <c r="L65" s="155"/>
      <c r="M65" s="142" t="s">
        <v>156</v>
      </c>
      <c r="N65" s="130"/>
      <c r="O65" s="130"/>
      <c r="P65" s="130"/>
      <c r="Q65" s="131"/>
      <c r="R65" s="131"/>
      <c r="S65" s="131"/>
      <c r="T65" s="131"/>
      <c r="U65" s="131"/>
      <c r="V65" s="131"/>
      <c r="W65" s="140"/>
      <c r="X65" s="155"/>
      <c r="Y65" s="142" t="s">
        <v>156</v>
      </c>
      <c r="Z65" s="130"/>
      <c r="AA65" s="130"/>
      <c r="AB65" s="130"/>
      <c r="AC65" s="131"/>
      <c r="AD65" s="131"/>
      <c r="AE65" s="131"/>
      <c r="AF65" s="131"/>
      <c r="AG65" s="131"/>
      <c r="AH65" s="131"/>
      <c r="AI65" s="140"/>
    </row>
    <row r="66" spans="1:35" ht="24" customHeight="1" x14ac:dyDescent="0.2">
      <c r="A66" s="161"/>
      <c r="B66" s="131"/>
      <c r="C66" s="131"/>
      <c r="D66" s="131"/>
      <c r="E66" s="131"/>
      <c r="F66" s="131"/>
      <c r="G66" s="141"/>
      <c r="H66" s="141"/>
      <c r="I66" s="141"/>
      <c r="J66" s="141"/>
      <c r="K66" s="141"/>
      <c r="L66" s="155"/>
      <c r="M66" s="161"/>
      <c r="N66" s="131"/>
      <c r="O66" s="131"/>
      <c r="P66" s="131"/>
      <c r="Q66" s="131"/>
      <c r="R66" s="131"/>
      <c r="S66" s="141"/>
      <c r="T66" s="141"/>
      <c r="U66" s="141"/>
      <c r="V66" s="141"/>
      <c r="W66" s="141"/>
      <c r="X66" s="155"/>
      <c r="Y66" s="161"/>
      <c r="Z66" s="131"/>
      <c r="AA66" s="131"/>
      <c r="AB66" s="131"/>
      <c r="AC66" s="131"/>
      <c r="AD66" s="131"/>
      <c r="AE66" s="141"/>
      <c r="AF66" s="141"/>
      <c r="AG66" s="141"/>
      <c r="AH66" s="141"/>
      <c r="AI66" s="141"/>
    </row>
    <row r="67" spans="1:35" ht="24" customHeight="1" x14ac:dyDescent="0.2">
      <c r="A67" s="129"/>
      <c r="B67" s="131"/>
      <c r="C67" s="131"/>
      <c r="D67" s="131"/>
      <c r="E67" s="131"/>
      <c r="F67" s="131"/>
      <c r="G67" s="143"/>
      <c r="H67" s="143"/>
      <c r="I67" s="143"/>
      <c r="J67" s="143"/>
      <c r="K67" s="143"/>
      <c r="L67" s="155"/>
      <c r="M67" s="129"/>
      <c r="N67" s="131"/>
      <c r="O67" s="131"/>
      <c r="P67" s="131"/>
      <c r="Q67" s="131"/>
      <c r="R67" s="131"/>
      <c r="S67" s="143"/>
      <c r="T67" s="143"/>
      <c r="U67" s="143"/>
      <c r="V67" s="143"/>
      <c r="W67" s="143"/>
      <c r="X67" s="155"/>
      <c r="Y67" s="129"/>
      <c r="Z67" s="131"/>
      <c r="AA67" s="131"/>
      <c r="AB67" s="131"/>
      <c r="AC67" s="131"/>
      <c r="AD67" s="131"/>
      <c r="AE67" s="143"/>
      <c r="AF67" s="143"/>
      <c r="AG67" s="143"/>
      <c r="AH67" s="143"/>
      <c r="AI67" s="143"/>
    </row>
    <row r="68" spans="1:35" ht="21" customHeight="1" x14ac:dyDescent="0.2">
      <c r="A68" s="144" t="s">
        <v>406</v>
      </c>
      <c r="B68" s="145"/>
      <c r="C68" s="145"/>
      <c r="D68" s="145"/>
      <c r="E68" s="131"/>
      <c r="F68" s="131"/>
      <c r="G68" s="131"/>
      <c r="H68" s="131"/>
      <c r="I68" s="131"/>
      <c r="J68" s="131"/>
      <c r="K68" s="139"/>
      <c r="L68" s="155"/>
      <c r="M68" s="144" t="s">
        <v>406</v>
      </c>
      <c r="N68" s="145"/>
      <c r="O68" s="145"/>
      <c r="P68" s="145"/>
      <c r="Q68" s="131"/>
      <c r="R68" s="131"/>
      <c r="S68" s="131"/>
      <c r="T68" s="131"/>
      <c r="U68" s="131"/>
      <c r="V68" s="131"/>
      <c r="W68" s="139"/>
      <c r="X68" s="155"/>
      <c r="Y68" s="144" t="s">
        <v>406</v>
      </c>
      <c r="Z68" s="145"/>
      <c r="AA68" s="145"/>
      <c r="AB68" s="145"/>
      <c r="AC68" s="131"/>
      <c r="AD68" s="131"/>
      <c r="AE68" s="131"/>
      <c r="AF68" s="131"/>
      <c r="AG68" s="131"/>
      <c r="AH68" s="131"/>
      <c r="AI68" s="139"/>
    </row>
    <row r="69" spans="1:35" ht="21" customHeight="1" x14ac:dyDescent="0.2">
      <c r="A69" s="146"/>
      <c r="B69" s="147"/>
      <c r="C69" s="147"/>
      <c r="D69" s="147"/>
      <c r="E69" s="147"/>
      <c r="F69" s="147"/>
      <c r="G69" s="147"/>
      <c r="H69" s="147"/>
      <c r="I69" s="147"/>
      <c r="J69" s="147"/>
      <c r="K69" s="148"/>
      <c r="L69" s="155"/>
      <c r="M69" s="146"/>
      <c r="N69" s="147"/>
      <c r="O69" s="147"/>
      <c r="P69" s="147"/>
      <c r="Q69" s="147"/>
      <c r="R69" s="147"/>
      <c r="S69" s="147"/>
      <c r="T69" s="147"/>
      <c r="U69" s="147"/>
      <c r="V69" s="147"/>
      <c r="W69" s="148"/>
      <c r="X69" s="155"/>
      <c r="Y69" s="146"/>
      <c r="Z69" s="147"/>
      <c r="AA69" s="147"/>
      <c r="AB69" s="147"/>
      <c r="AC69" s="147"/>
      <c r="AD69" s="147"/>
      <c r="AE69" s="147"/>
      <c r="AF69" s="147"/>
      <c r="AG69" s="147"/>
      <c r="AH69" s="147"/>
      <c r="AI69" s="148"/>
    </row>
  </sheetData>
  <mergeCells count="107">
    <mergeCell ref="A3:F3"/>
    <mergeCell ref="H3:K3"/>
    <mergeCell ref="M3:R3"/>
    <mergeCell ref="T3:W3"/>
    <mergeCell ref="Y3:AD3"/>
    <mergeCell ref="AF3:AI3"/>
    <mergeCell ref="A1:K1"/>
    <mergeCell ref="M1:W1"/>
    <mergeCell ref="Y1:AI1"/>
    <mergeCell ref="B2:F2"/>
    <mergeCell ref="N2:R2"/>
    <mergeCell ref="Z2:AD2"/>
    <mergeCell ref="AH2:AI2"/>
    <mergeCell ref="V2:W2"/>
    <mergeCell ref="J2:K2"/>
    <mergeCell ref="A15:K15"/>
    <mergeCell ref="M15:W15"/>
    <mergeCell ref="Y15:AI15"/>
    <mergeCell ref="B16:F16"/>
    <mergeCell ref="N16:R16"/>
    <mergeCell ref="B4:F4"/>
    <mergeCell ref="N4:R4"/>
    <mergeCell ref="Z4:AD4"/>
    <mergeCell ref="B6:F6"/>
    <mergeCell ref="N6:R6"/>
    <mergeCell ref="Z6:AD6"/>
    <mergeCell ref="I4:K4"/>
    <mergeCell ref="U4:W4"/>
    <mergeCell ref="AG4:AI4"/>
    <mergeCell ref="J16:K16"/>
    <mergeCell ref="V16:W16"/>
    <mergeCell ref="AH16:AI16"/>
    <mergeCell ref="Z16:AD16"/>
    <mergeCell ref="AF31:AI31"/>
    <mergeCell ref="A29:K29"/>
    <mergeCell ref="M29:W29"/>
    <mergeCell ref="Y29:AI29"/>
    <mergeCell ref="B30:F30"/>
    <mergeCell ref="N30:R30"/>
    <mergeCell ref="B18:F18"/>
    <mergeCell ref="N18:R18"/>
    <mergeCell ref="Z18:AD18"/>
    <mergeCell ref="B20:F20"/>
    <mergeCell ref="N20:R20"/>
    <mergeCell ref="Z20:AD20"/>
    <mergeCell ref="A21:F22"/>
    <mergeCell ref="A24:F25"/>
    <mergeCell ref="Z30:AD30"/>
    <mergeCell ref="J30:K30"/>
    <mergeCell ref="V30:W30"/>
    <mergeCell ref="AH30:AI30"/>
    <mergeCell ref="B32:F32"/>
    <mergeCell ref="N32:R32"/>
    <mergeCell ref="Z32:AD32"/>
    <mergeCell ref="B34:F34"/>
    <mergeCell ref="N34:R34"/>
    <mergeCell ref="Z34:AD34"/>
    <mergeCell ref="A31:F31"/>
    <mergeCell ref="H31:K31"/>
    <mergeCell ref="M31:R31"/>
    <mergeCell ref="T31:W31"/>
    <mergeCell ref="Y31:AD31"/>
    <mergeCell ref="AF45:AI45"/>
    <mergeCell ref="A43:K43"/>
    <mergeCell ref="M43:W43"/>
    <mergeCell ref="Y43:AI43"/>
    <mergeCell ref="B44:F44"/>
    <mergeCell ref="N44:R44"/>
    <mergeCell ref="AC44:AD44"/>
    <mergeCell ref="AH44:AI44"/>
    <mergeCell ref="V44:W44"/>
    <mergeCell ref="J44:K44"/>
    <mergeCell ref="B60:F60"/>
    <mergeCell ref="N60:R60"/>
    <mergeCell ref="Z60:AD60"/>
    <mergeCell ref="B62:F62"/>
    <mergeCell ref="N62:R62"/>
    <mergeCell ref="Z62:AD62"/>
    <mergeCell ref="A59:F59"/>
    <mergeCell ref="H59:K59"/>
    <mergeCell ref="M59:R59"/>
    <mergeCell ref="T59:W59"/>
    <mergeCell ref="Y59:AD59"/>
    <mergeCell ref="A17:F17"/>
    <mergeCell ref="H17:K17"/>
    <mergeCell ref="M17:R17"/>
    <mergeCell ref="T17:W17"/>
    <mergeCell ref="Y17:AD17"/>
    <mergeCell ref="AF17:AI17"/>
    <mergeCell ref="AF59:AI59"/>
    <mergeCell ref="A57:K57"/>
    <mergeCell ref="M57:W57"/>
    <mergeCell ref="Y57:AI57"/>
    <mergeCell ref="E58:F58"/>
    <mergeCell ref="Q58:R58"/>
    <mergeCell ref="AC58:AD58"/>
    <mergeCell ref="B46:F46"/>
    <mergeCell ref="N46:R46"/>
    <mergeCell ref="Z46:AD46"/>
    <mergeCell ref="B48:F48"/>
    <mergeCell ref="N48:R48"/>
    <mergeCell ref="Z48:AD48"/>
    <mergeCell ref="A45:F45"/>
    <mergeCell ref="H45:K45"/>
    <mergeCell ref="M45:R45"/>
    <mergeCell ref="T45:W45"/>
    <mergeCell ref="Y45:AD45"/>
  </mergeCells>
  <pageMargins left="0.19685039370078741" right="0.19685039370078741" top="0.15748031496062992" bottom="0.15748031496062992" header="0.11811023622047245" footer="0.11811023622047245"/>
  <pageSetup paperSize="9" scale="64" fitToHeight="2" orientation="landscape" r:id="rId1"/>
  <headerFooter>
    <oddHeader>&amp;C&amp;"Calibri"&amp;10&amp;KFF8C00C2 - Confidential&amp;1#</oddHeader>
  </headerFooter>
  <rowBreaks count="1" manualBreakCount="1">
    <brk id="41" max="3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5">
    <tabColor rgb="FF00B050"/>
  </sheetPr>
  <dimension ref="A1:CT144"/>
  <sheetViews>
    <sheetView showGridLines="0" topLeftCell="O1" zoomScale="80" zoomScaleNormal="80" zoomScaleSheetLayoutView="80" workbookViewId="0">
      <selection activeCell="A43" sqref="A43"/>
    </sheetView>
  </sheetViews>
  <sheetFormatPr baseColWidth="10" defaultRowHeight="16" outlineLevelCol="1" x14ac:dyDescent="0.2"/>
  <cols>
    <col min="1" max="12" width="5.6640625" customWidth="1"/>
    <col min="13" max="13" width="8.6640625" customWidth="1"/>
    <col min="14" max="18" width="5.6640625" customWidth="1"/>
    <col min="19" max="19" width="5.5" customWidth="1"/>
    <col min="20" max="27" width="5.6640625" customWidth="1"/>
    <col min="28" max="28" width="2.33203125" customWidth="1"/>
    <col min="29" max="29" width="22.1640625" customWidth="1"/>
    <col min="30" max="30" width="16.6640625" customWidth="1"/>
    <col min="31" max="31" width="7.6640625" style="1" customWidth="1"/>
    <col min="32" max="33" width="26.33203125" bestFit="1" customWidth="1"/>
    <col min="34" max="34" width="5.6640625" customWidth="1"/>
    <col min="35" max="39" width="5.6640625" hidden="1" customWidth="1" outlineLevel="1"/>
    <col min="40" max="46" width="5.6640625" style="3" hidden="1" customWidth="1" outlineLevel="1"/>
    <col min="47" max="49" width="5.6640625" hidden="1" customWidth="1" outlineLevel="1"/>
    <col min="50" max="50" width="5.6640625" customWidth="1" collapsed="1"/>
    <col min="51" max="51" width="20.83203125" hidden="1" customWidth="1" outlineLevel="1"/>
    <col min="52" max="53" width="5.6640625" hidden="1" customWidth="1" outlineLevel="1"/>
    <col min="54" max="55" width="11" hidden="1" customWidth="1" outlineLevel="1"/>
    <col min="56" max="56" width="16.6640625" hidden="1" customWidth="1" outlineLevel="1"/>
    <col min="57" max="60" width="11" hidden="1" customWidth="1" outlineLevel="1"/>
    <col min="61" max="61" width="11" customWidth="1" collapsed="1"/>
    <col min="62" max="78" width="0" hidden="1" customWidth="1"/>
    <col min="79" max="97" width="10.6640625" hidden="1" customWidth="1" outlineLevel="1"/>
    <col min="98" max="98" width="11.1640625" collapsed="1"/>
  </cols>
  <sheetData>
    <row r="1" spans="1:97" ht="21" customHeight="1" x14ac:dyDescent="0.2">
      <c r="A1" s="114" t="s">
        <v>1660</v>
      </c>
      <c r="CA1" s="287" t="s">
        <v>1032</v>
      </c>
      <c r="CB1" t="s">
        <v>1033</v>
      </c>
      <c r="CC1">
        <f>R3</f>
        <v>0</v>
      </c>
      <c r="CD1" s="288" t="str">
        <f>+D2</f>
        <v/>
      </c>
      <c r="CE1" t="str">
        <f>IF(ISBLANK(D3),D2,D3)</f>
        <v/>
      </c>
      <c r="CF1">
        <f>I3</f>
        <v>0</v>
      </c>
      <c r="CG1">
        <f>N3</f>
        <v>0</v>
      </c>
      <c r="CH1" t="str">
        <f>B6&amp;" "&amp;F6</f>
        <v xml:space="preserve"> </v>
      </c>
      <c r="CI1" t="s">
        <v>156</v>
      </c>
      <c r="CJ1" t="str">
        <f>N6&amp;" "&amp;R6</f>
        <v xml:space="preserve"> </v>
      </c>
      <c r="CL1">
        <f>L23 + L33</f>
        <v>0</v>
      </c>
      <c r="CM1">
        <f>N23 +N33</f>
        <v>0</v>
      </c>
      <c r="CO1">
        <f>AK33</f>
        <v>0</v>
      </c>
      <c r="CP1">
        <f>AK34</f>
        <v>0</v>
      </c>
      <c r="CR1">
        <f>AL33</f>
        <v>0</v>
      </c>
      <c r="CS1">
        <f>AL34</f>
        <v>0</v>
      </c>
    </row>
    <row r="2" spans="1:97" ht="21" customHeight="1" x14ac:dyDescent="0.2">
      <c r="A2" s="45" t="s">
        <v>23</v>
      </c>
      <c r="D2" s="505" t="str">
        <f>IFERROR(VLOOKUP(R3,JourneeE4,2,FALSE),"")</f>
        <v/>
      </c>
      <c r="E2" s="506"/>
      <c r="AC2" t="s">
        <v>418</v>
      </c>
      <c r="AD2" s="87"/>
      <c r="AE2" s="87"/>
      <c r="AF2" s="87"/>
      <c r="AH2" s="87"/>
    </row>
    <row r="3" spans="1:97" ht="25" customHeight="1" x14ac:dyDescent="0.25">
      <c r="A3" s="27" t="s">
        <v>272</v>
      </c>
      <c r="D3" s="435"/>
      <c r="E3" s="436"/>
      <c r="G3" s="45" t="s">
        <v>263</v>
      </c>
      <c r="H3" s="89"/>
      <c r="I3" s="507"/>
      <c r="J3" s="508"/>
      <c r="K3" s="89"/>
      <c r="L3" s="89"/>
      <c r="M3" s="88" t="s">
        <v>28</v>
      </c>
      <c r="N3" s="92"/>
      <c r="O3" s="89"/>
      <c r="P3" s="45" t="s">
        <v>387</v>
      </c>
      <c r="Q3" s="27"/>
      <c r="R3" s="91"/>
      <c r="AC3" s="27" t="s">
        <v>373</v>
      </c>
      <c r="AN3"/>
      <c r="AO3"/>
      <c r="AP3"/>
      <c r="AQ3"/>
    </row>
    <row r="4" spans="1:97" ht="21" customHeight="1" thickBot="1" x14ac:dyDescent="0.25">
      <c r="E4" s="13"/>
      <c r="F4" s="8"/>
      <c r="G4" s="7"/>
      <c r="H4" s="7"/>
      <c r="I4" s="7"/>
      <c r="J4" s="7"/>
      <c r="K4" s="7"/>
      <c r="L4" s="7"/>
      <c r="M4" s="7"/>
      <c r="N4" s="7"/>
      <c r="O4" s="7"/>
      <c r="AC4" s="27" t="s">
        <v>372</v>
      </c>
      <c r="AN4"/>
      <c r="AO4"/>
      <c r="AP4"/>
      <c r="AQ4"/>
    </row>
    <row r="5" spans="1:97" ht="21" customHeight="1" thickTop="1" x14ac:dyDescent="0.2">
      <c r="A5" s="61"/>
      <c r="B5" s="50" t="s">
        <v>425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94" t="s">
        <v>424</v>
      </c>
      <c r="O5" s="48"/>
      <c r="P5" s="48"/>
      <c r="Q5" s="48"/>
      <c r="R5" s="48"/>
      <c r="S5" s="48"/>
      <c r="T5" s="48"/>
      <c r="U5" s="51"/>
      <c r="AC5" s="27" t="s">
        <v>376</v>
      </c>
      <c r="AN5"/>
      <c r="AO5"/>
      <c r="AP5"/>
      <c r="AQ5"/>
    </row>
    <row r="6" spans="1:97" ht="25" customHeight="1" thickBot="1" x14ac:dyDescent="0.25">
      <c r="A6" s="62"/>
      <c r="B6" s="509"/>
      <c r="C6" s="510"/>
      <c r="D6" s="510"/>
      <c r="E6" s="5"/>
      <c r="F6" s="52"/>
      <c r="G6" s="5"/>
      <c r="H6" s="5"/>
      <c r="I6" s="5"/>
      <c r="J6" s="5"/>
      <c r="K6" s="5"/>
      <c r="L6" s="5"/>
      <c r="M6" s="5"/>
      <c r="N6" s="511"/>
      <c r="O6" s="510"/>
      <c r="P6" s="510"/>
      <c r="Q6" s="5"/>
      <c r="R6" s="52"/>
      <c r="S6" s="5"/>
      <c r="T6" s="5"/>
      <c r="U6" s="53"/>
      <c r="W6" s="75" t="str">
        <f>'EQUIPE A 3'!W6</f>
        <v>Mise à jour du 24 Novembre 2025</v>
      </c>
      <c r="AC6" s="27" t="s">
        <v>374</v>
      </c>
      <c r="AM6" s="2"/>
      <c r="AN6" s="4"/>
      <c r="AO6" s="4"/>
      <c r="AP6" s="4"/>
      <c r="AQ6" s="4"/>
    </row>
    <row r="7" spans="1:97" ht="21" customHeight="1" thickTop="1" x14ac:dyDescent="0.25">
      <c r="AC7" s="27" t="s">
        <v>377</v>
      </c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Z7" s="15"/>
      <c r="BA7" s="15"/>
      <c r="BB7" s="15"/>
      <c r="BE7" s="15"/>
    </row>
    <row r="8" spans="1:97" ht="21" customHeight="1" thickBot="1" x14ac:dyDescent="0.25">
      <c r="G8" s="14"/>
      <c r="AC8" s="27" t="s">
        <v>482</v>
      </c>
    </row>
    <row r="9" spans="1:97" ht="21" customHeight="1" thickTop="1" thickBot="1" x14ac:dyDescent="0.25">
      <c r="A9" s="63"/>
      <c r="B9" s="95" t="s">
        <v>370</v>
      </c>
      <c r="C9" s="56" t="s">
        <v>274</v>
      </c>
      <c r="D9" s="57"/>
      <c r="E9" s="57"/>
      <c r="F9" s="57"/>
      <c r="G9" s="57"/>
      <c r="H9" s="59"/>
      <c r="I9" s="71" t="s">
        <v>275</v>
      </c>
      <c r="J9" s="442" t="s">
        <v>367</v>
      </c>
      <c r="K9" s="443"/>
      <c r="L9" s="57"/>
      <c r="M9" s="59"/>
      <c r="N9" s="60"/>
      <c r="O9" s="59"/>
      <c r="P9" s="96" t="s">
        <v>370</v>
      </c>
      <c r="Q9" s="56" t="s">
        <v>274</v>
      </c>
      <c r="R9" s="57"/>
      <c r="S9" s="59"/>
      <c r="T9" s="59"/>
      <c r="U9" s="59"/>
      <c r="V9" s="59"/>
      <c r="W9" s="59"/>
      <c r="X9" s="71" t="s">
        <v>275</v>
      </c>
      <c r="Y9" s="442" t="s">
        <v>367</v>
      </c>
      <c r="Z9" s="443"/>
      <c r="AA9" s="60"/>
      <c r="AC9" s="27" t="s">
        <v>375</v>
      </c>
    </row>
    <row r="10" spans="1:97" ht="25" customHeight="1" x14ac:dyDescent="0.25">
      <c r="A10" s="263" t="s">
        <v>0</v>
      </c>
      <c r="B10" s="264"/>
      <c r="C10" s="265" t="str">
        <f>IF(B10="","",IFERROR(VLOOKUP($B$6&amp;$B10,'LISTE JOUEURS'!$P:$S,2,0),"")) &amp;" "&amp; IF(B10="","",IFERROR(VLOOKUP($B$6&amp;$B10,'LISTE JOUEURS'!$P:$S,3,0),""))</f>
        <v xml:space="preserve"> </v>
      </c>
      <c r="D10" s="212"/>
      <c r="E10" s="212"/>
      <c r="F10" s="212"/>
      <c r="G10" s="213"/>
      <c r="H10" s="213"/>
      <c r="I10" s="266" t="str">
        <f>IF(B10="","",IFERROR(VLOOKUP($B$6&amp;$B10,'LISTE JOUEURS'!$P:$U,4,0),500))</f>
        <v/>
      </c>
      <c r="J10" s="501" t="str">
        <f>IF(B10="","",IFERROR(VLOOKUP($B$6&amp;$B10,'LISTE JOUEURS'!$P:$U,5,0),""))</f>
        <v/>
      </c>
      <c r="K10" s="502"/>
      <c r="L10" s="267"/>
      <c r="M10" s="213"/>
      <c r="N10" s="383"/>
      <c r="O10" s="268" t="s">
        <v>4</v>
      </c>
      <c r="P10" s="269"/>
      <c r="Q10" s="270" t="str">
        <f>IF(P10="","",IFERROR(VLOOKUP($N$6&amp;$P10,'LISTE JOUEURS'!$P:$S,2,0),""))&amp; " "&amp;IF(P10="","",IFERROR(VLOOKUP($N$6&amp;$P10,'LISTE JOUEURS'!$P:$S,3,0),""))</f>
        <v xml:space="preserve"> </v>
      </c>
      <c r="R10" s="212"/>
      <c r="S10" s="212"/>
      <c r="T10" s="212"/>
      <c r="U10" s="213"/>
      <c r="V10" s="213"/>
      <c r="W10" s="213"/>
      <c r="X10" s="266" t="str">
        <f>IF(P10="","",IFERROR(VLOOKUP($N$6&amp;$P10,'LISTE JOUEURS'!$P:$U,4,0),500))</f>
        <v/>
      </c>
      <c r="Y10" s="444" t="str">
        <f>IF(P10="","",IFERROR(VLOOKUP($N$6&amp;$P10,'LISTE JOUEURS'!$P:$U,5,0),""))</f>
        <v/>
      </c>
      <c r="Z10" s="445"/>
      <c r="AA10" s="216"/>
      <c r="AC10" s="27" t="s">
        <v>394</v>
      </c>
      <c r="AM10" s="2"/>
      <c r="AN10" s="4"/>
      <c r="AO10" s="4"/>
      <c r="AP10" s="4"/>
      <c r="AQ10" s="4"/>
      <c r="AY10" t="s">
        <v>675</v>
      </c>
      <c r="AZ10" s="192">
        <f>+MAX(I10:I13)</f>
        <v>0</v>
      </c>
      <c r="BA10" s="192">
        <f>+MAX(X10:X13)</f>
        <v>0</v>
      </c>
      <c r="BE10" s="21" t="s">
        <v>31</v>
      </c>
      <c r="BF10" s="22" t="s">
        <v>29</v>
      </c>
      <c r="BG10" s="23" t="s">
        <v>30</v>
      </c>
    </row>
    <row r="11" spans="1:97" ht="25" customHeight="1" x14ac:dyDescent="0.25">
      <c r="A11" s="271" t="s">
        <v>1</v>
      </c>
      <c r="B11" s="272"/>
      <c r="C11" s="273" t="str">
        <f>IF(B11="","",IFERROR(VLOOKUP($B$6&amp;$B11,'LISTE JOUEURS'!$P:$S,2,0),"")) &amp;" "&amp; IF(B11="","",IFERROR(VLOOKUP($B$6&amp;$B11,'LISTE JOUEURS'!$P:$S,3,0),""))</f>
        <v xml:space="preserve"> </v>
      </c>
      <c r="D11" s="220"/>
      <c r="E11" s="220"/>
      <c r="F11" s="220"/>
      <c r="G11" s="220"/>
      <c r="H11" s="220"/>
      <c r="I11" s="274" t="str">
        <f>IF(B11="","",IFERROR(VLOOKUP($B$6&amp;$B11,'LISTE JOUEURS'!$P:$U,4,0),500))</f>
        <v/>
      </c>
      <c r="J11" s="503" t="str">
        <f>IF(B11="","",IFERROR(VLOOKUP($B$6&amp;$B11,'LISTE JOUEURS'!$P:$U,5,0),""))</f>
        <v/>
      </c>
      <c r="K11" s="504"/>
      <c r="L11" s="275"/>
      <c r="M11" s="220"/>
      <c r="N11" s="384"/>
      <c r="O11" s="276" t="s">
        <v>5</v>
      </c>
      <c r="P11" s="277"/>
      <c r="Q11" s="278" t="str">
        <f>IF(P11="","",IFERROR(VLOOKUP($N$6&amp;$P11,'LISTE JOUEURS'!$P:$S,2,0),""))&amp; " "&amp;IF(P11="","",IFERROR(VLOOKUP($N$6&amp;$P11,'LISTE JOUEURS'!$P:$S,3,0),""))</f>
        <v xml:space="preserve"> </v>
      </c>
      <c r="R11" s="220"/>
      <c r="S11" s="220"/>
      <c r="T11" s="220"/>
      <c r="U11" s="221"/>
      <c r="V11" s="221"/>
      <c r="W11" s="221"/>
      <c r="X11" s="274" t="str">
        <f>IF(P11="","",IFERROR(VLOOKUP($N$6&amp;$P11,'LISTE JOUEURS'!$P:$U,4,0),500))</f>
        <v/>
      </c>
      <c r="Y11" s="446" t="str">
        <f>IF(P11="","",IFERROR(VLOOKUP($N$6&amp;$P11,'LISTE JOUEURS'!$P:$U,5,0),""))</f>
        <v/>
      </c>
      <c r="Z11" s="447"/>
      <c r="AA11" s="224"/>
      <c r="AC11" s="27" t="s">
        <v>395</v>
      </c>
      <c r="AY11" t="s">
        <v>676</v>
      </c>
      <c r="AZ11" s="192">
        <f>+MIN(I10:I13)</f>
        <v>0</v>
      </c>
      <c r="BA11" s="192">
        <f>+MIN(X10:X13)</f>
        <v>0</v>
      </c>
      <c r="BE11" s="29" t="s">
        <v>32</v>
      </c>
      <c r="BF11" s="30" t="str">
        <f>' EQUIPE A 4'!$D$2</f>
        <v/>
      </c>
      <c r="BG11" s="31">
        <f>IF(I3="SuperDiv",IFERROR(IF(' EQUIPE A 4'!L17=1,VLOOKUP(' EQUIPE A 4'!B6&amp;' EQUIPE A 4'!B10,'LISTE JOUEURS'!$P:$U,6,0),VLOOKUP(' EQUIPE A 4'!N6&amp;' EQUIPE A 4'!P10,'LISTE JOUEURS'!$P:$U,6,0)),0),IFERROR(IF(' EQUIPE A 4'!L17=4,VLOOKUP(' EQUIPE A 4'!B6&amp;' EQUIPE A 4'!B10,'LISTE JOUEURS'!$P:$U,6,0),VLOOKUP(' EQUIPE A 4'!N6&amp;' EQUIPE A 4'!P10,'LISTE JOUEURS'!$P:$U,6,0)),0))</f>
        <v>0</v>
      </c>
      <c r="BH11" t="e">
        <f>+_xlfn.XLOOKUP(BG11,'LISTE JOUEURS'!$U:$U,'LISTE JOUEURS'!$Q:$Q)&amp;" "&amp;_xlfn.XLOOKUP(BG11,'LISTE JOUEURS'!$U:$U,'LISTE JOUEURS'!$R:$R)</f>
        <v>#N/A</v>
      </c>
    </row>
    <row r="12" spans="1:97" ht="25" customHeight="1" x14ac:dyDescent="0.25">
      <c r="A12" s="271" t="s">
        <v>2</v>
      </c>
      <c r="B12" s="272"/>
      <c r="C12" s="273" t="str">
        <f>IF(B12="","",IFERROR(VLOOKUP($B$6&amp;$B12,'LISTE JOUEURS'!$P:$S,2,0),"")) &amp;" "&amp; IF(B12="","",IFERROR(VLOOKUP($B$6&amp;$B12,'LISTE JOUEURS'!$P:$S,3,0),""))</f>
        <v xml:space="preserve"> </v>
      </c>
      <c r="D12" s="220"/>
      <c r="E12" s="221"/>
      <c r="F12" s="221"/>
      <c r="G12" s="221"/>
      <c r="H12" s="221"/>
      <c r="I12" s="274" t="str">
        <f>IF(B12="","",IFERROR(VLOOKUP($B$6&amp;$B12,'LISTE JOUEURS'!$P:$U,4,0),500))</f>
        <v/>
      </c>
      <c r="J12" s="503" t="str">
        <f>IF(B12="","",IFERROR(VLOOKUP($B$6&amp;$B12,'LISTE JOUEURS'!$P:$U,5,0),""))</f>
        <v/>
      </c>
      <c r="K12" s="504"/>
      <c r="L12" s="275"/>
      <c r="M12" s="221"/>
      <c r="N12" s="384"/>
      <c r="O12" s="276" t="s">
        <v>6</v>
      </c>
      <c r="P12" s="277"/>
      <c r="Q12" s="278" t="str">
        <f>IF(P12="","",IFERROR(VLOOKUP($N$6&amp;$P12,'LISTE JOUEURS'!$P:$S,2,0),""))&amp; " "&amp;IF(P12="","",IFERROR(VLOOKUP($N$6&amp;$P12,'LISTE JOUEURS'!$P:$S,3,0),""))</f>
        <v xml:space="preserve"> </v>
      </c>
      <c r="R12" s="220"/>
      <c r="S12" s="220"/>
      <c r="T12" s="220"/>
      <c r="U12" s="221"/>
      <c r="V12" s="221"/>
      <c r="W12" s="221"/>
      <c r="X12" s="274" t="str">
        <f>IF(P12="","",IFERROR(VLOOKUP($N$6&amp;$P12,'LISTE JOUEURS'!$P:$U,4,0),500))</f>
        <v/>
      </c>
      <c r="Y12" s="446" t="str">
        <f>IF(P12="","",IFERROR(VLOOKUP($N$6&amp;$P12,'LISTE JOUEURS'!$P:$U,5,0),""))</f>
        <v/>
      </c>
      <c r="Z12" s="447"/>
      <c r="AA12" s="224"/>
      <c r="AC12" s="27" t="s">
        <v>404</v>
      </c>
      <c r="BE12" s="29" t="s">
        <v>33</v>
      </c>
      <c r="BF12" s="30" t="str">
        <f>' EQUIPE A 4'!$D$2</f>
        <v/>
      </c>
      <c r="BG12" s="31">
        <f>IFERROR(IF(' EQUIPE A 4'!L17=0,VLOOKUP(' EQUIPE A 4'!B6&amp;' EQUIPE A 4'!B10,'LISTE JOUEURS'!$P:$U,6,0),VLOOKUP(' EQUIPE A 4'!N6&amp;' EQUIPE A 4'!P10,'LISTE JOUEURS'!$P:$U,6,0)),0)</f>
        <v>0</v>
      </c>
      <c r="BH12" t="e">
        <f>+_xlfn.XLOOKUP(BG12,'LISTE JOUEURS'!$U:$U,'LISTE JOUEURS'!$Q:$Q)&amp;" "&amp;_xlfn.XLOOKUP(BG12,'LISTE JOUEURS'!$U:$U,'LISTE JOUEURS'!$R:$R)</f>
        <v>#N/A</v>
      </c>
    </row>
    <row r="13" spans="1:97" ht="25" customHeight="1" thickBot="1" x14ac:dyDescent="0.3">
      <c r="A13" s="279" t="s">
        <v>3</v>
      </c>
      <c r="B13" s="280"/>
      <c r="C13" s="281" t="str">
        <f>IF(B13="","",IFERROR(VLOOKUP($B$6&amp;$B13,'LISTE JOUEURS'!$P:$S,2,0),"")) &amp;" "&amp; IF(B13="","",IFERROR(VLOOKUP($B$6&amp;$B13,'LISTE JOUEURS'!$P:$S,3,0),""))</f>
        <v xml:space="preserve"> </v>
      </c>
      <c r="D13" s="228"/>
      <c r="E13" s="228"/>
      <c r="F13" s="228"/>
      <c r="G13" s="228"/>
      <c r="H13" s="228"/>
      <c r="I13" s="282" t="str">
        <f>IF(B13="","",IFERROR(VLOOKUP($B$6&amp;$B13,'LISTE JOUEURS'!$P:$U,4,0),500))</f>
        <v/>
      </c>
      <c r="J13" s="491" t="str">
        <f>IF(B13="","",IFERROR(VLOOKUP($B$6&amp;$B13,'LISTE JOUEURS'!$P:$U,5,0),""))</f>
        <v/>
      </c>
      <c r="K13" s="492"/>
      <c r="L13" s="283"/>
      <c r="M13" s="228"/>
      <c r="N13" s="385"/>
      <c r="O13" s="284" t="s">
        <v>7</v>
      </c>
      <c r="P13" s="285"/>
      <c r="Q13" s="286" t="str">
        <f>IF(P13="","",IFERROR(VLOOKUP($N$6&amp;$P13,'LISTE JOUEURS'!$P:$S,2,0),""))&amp; " "&amp;IF(P13="","",IFERROR(VLOOKUP($N$6&amp;$P13,'LISTE JOUEURS'!$P:$S,3,0),""))</f>
        <v xml:space="preserve"> </v>
      </c>
      <c r="R13" s="227"/>
      <c r="S13" s="227"/>
      <c r="T13" s="227"/>
      <c r="U13" s="228"/>
      <c r="V13" s="228"/>
      <c r="W13" s="228"/>
      <c r="X13" s="282" t="str">
        <f>IF(P13="","",IFERROR(VLOOKUP($N$6&amp;$P13,'LISTE JOUEURS'!$P:$U,4,0),500))</f>
        <v/>
      </c>
      <c r="Y13" s="448" t="str">
        <f>IF(P13="","",IFERROR(VLOOKUP($N$6&amp;$P13,'LISTE JOUEURS'!$P:$U,5,0),""))</f>
        <v/>
      </c>
      <c r="Z13" s="493"/>
      <c r="AA13" s="231"/>
      <c r="AC13" s="27" t="s">
        <v>420</v>
      </c>
      <c r="AZ13" t="str">
        <f>IF(OR(I10=AZ10,I11=AZ10),"ok","pas ok")</f>
        <v>pas ok</v>
      </c>
      <c r="BA13" t="str">
        <f>IF(OR(X10=BA10,X11=BA10),"ok","pas ok")</f>
        <v>pas ok</v>
      </c>
      <c r="BE13" s="29" t="s">
        <v>32</v>
      </c>
      <c r="BF13" s="30" t="str">
        <f>' EQUIPE A 4'!$D$2</f>
        <v/>
      </c>
      <c r="BG13" s="31">
        <f>IF(I3="SuperDiv",IFERROR(IF(' EQUIPE A 4'!L18=1,VLOOKUP(' EQUIPE A 4'!B6&amp;' EQUIPE A 4'!B11,'LISTE JOUEURS'!$P:$U,6,0),VLOOKUP(' EQUIPE A 4'!N6&amp;' EQUIPE A 4'!P11,'LISTE JOUEURS'!$P:$U,6,0)),0),IFERROR(IF(' EQUIPE A 4'!L18=4,VLOOKUP(' EQUIPE A 4'!B6&amp;' EQUIPE A 4'!B11,'LISTE JOUEURS'!$P:$U,6,0),VLOOKUP(' EQUIPE A 4'!N6&amp;' EQUIPE A 4'!P11,'LISTE JOUEURS'!$P:$U,6,0)),0))</f>
        <v>0</v>
      </c>
      <c r="BH13" t="e">
        <f>+_xlfn.XLOOKUP(BG13,'LISTE JOUEURS'!$U:$U,'LISTE JOUEURS'!$Q:$Q)&amp;" "&amp;_xlfn.XLOOKUP(BG13,'LISTE JOUEURS'!$U:$U,'LISTE JOUEURS'!$R:$R)</f>
        <v>#N/A</v>
      </c>
    </row>
    <row r="14" spans="1:97" ht="21" customHeight="1" thickTop="1" x14ac:dyDescent="0.2">
      <c r="A14" s="27"/>
      <c r="C14" s="27"/>
      <c r="P14" s="27"/>
      <c r="Q14" s="27"/>
      <c r="R14" s="27"/>
      <c r="S14" s="27"/>
      <c r="T14" s="27"/>
      <c r="AC14" s="79" t="s">
        <v>419</v>
      </c>
      <c r="AZ14" t="str">
        <f>IF(OR(I12=AZ11,I13=AZ11),"ok","pas ok")</f>
        <v>pas ok</v>
      </c>
      <c r="BA14" t="str">
        <f>IF(OR(X12=BA11,X13=BA11),"ok","pas ok")</f>
        <v>pas ok</v>
      </c>
      <c r="BE14" s="29" t="s">
        <v>33</v>
      </c>
      <c r="BF14" s="30" t="str">
        <f>' EQUIPE A 4'!$D$2</f>
        <v/>
      </c>
      <c r="BG14" s="31">
        <f>IFERROR(IF(' EQUIPE A 4'!L18=0,VLOOKUP(' EQUIPE A 4'!B6&amp;' EQUIPE A 4'!B11,'LISTE JOUEURS'!$P:$U,6,0),VLOOKUP(' EQUIPE A 4'!N6&amp;' EQUIPE A 4'!P11,'LISTE JOUEURS'!$P:$U,6,0)),0)</f>
        <v>0</v>
      </c>
      <c r="BH14" t="e">
        <f>+_xlfn.XLOOKUP(BG14,'LISTE JOUEURS'!$U:$U,'LISTE JOUEURS'!$Q:$Q)&amp;" "&amp;_xlfn.XLOOKUP(BG14,'LISTE JOUEURS'!$U:$U,'LISTE JOUEURS'!$R:$R)</f>
        <v>#N/A</v>
      </c>
    </row>
    <row r="15" spans="1:97" ht="21" customHeight="1" thickBot="1" x14ac:dyDescent="0.25">
      <c r="A15" s="27"/>
      <c r="B15" s="27"/>
      <c r="C15" s="27"/>
      <c r="F15" s="43"/>
      <c r="G15" s="45"/>
      <c r="H15" s="45"/>
      <c r="J15" s="27" t="s">
        <v>399</v>
      </c>
      <c r="P15" s="27"/>
      <c r="Q15" s="27"/>
      <c r="R15" s="27"/>
      <c r="S15" s="27"/>
      <c r="T15" s="27"/>
      <c r="AZ15">
        <f>COUNTIF(AZ13:BA14,"pas ok")</f>
        <v>4</v>
      </c>
      <c r="BE15" s="29" t="s">
        <v>32</v>
      </c>
      <c r="BF15" s="30" t="str">
        <f>' EQUIPE A 4'!$D$2</f>
        <v/>
      </c>
      <c r="BG15" s="31">
        <f>IF(I3="SuperDiv",IFERROR(IF(' EQUIPE A 4'!L19=1,VLOOKUP(' EQUIPE A 4'!B6&amp;' EQUIPE A 4'!B11,'LISTE JOUEURS'!$P:$U,6,0),VLOOKUP(' EQUIPE A 4'!N6&amp;' EQUIPE A 4'!P10,'LISTE JOUEURS'!$P:$U,6,0)),0),IFERROR(IF(' EQUIPE A 4'!L19=4,VLOOKUP(' EQUIPE A 4'!B6&amp;' EQUIPE A 4'!B11,'LISTE JOUEURS'!$P:$U,6,0),VLOOKUP(' EQUIPE A 4'!N6&amp;' EQUIPE A 4'!P10,'LISTE JOUEURS'!$P:$U,6,0)),0))</f>
        <v>0</v>
      </c>
      <c r="BH15" t="e">
        <f>+_xlfn.XLOOKUP(BG15,'LISTE JOUEURS'!$U:$U,'LISTE JOUEURS'!$Q:$Q)&amp;" "&amp;_xlfn.XLOOKUP(BG15,'LISTE JOUEURS'!$U:$U,'LISTE JOUEURS'!$R:$R)</f>
        <v>#N/A</v>
      </c>
    </row>
    <row r="16" spans="1:97" ht="21" customHeight="1" thickTop="1" x14ac:dyDescent="0.25">
      <c r="A16" s="70" t="s">
        <v>12</v>
      </c>
      <c r="B16" s="72" t="s">
        <v>13</v>
      </c>
      <c r="C16" s="72" t="s">
        <v>14</v>
      </c>
      <c r="D16" s="72" t="s">
        <v>15</v>
      </c>
      <c r="E16" s="72" t="s">
        <v>16</v>
      </c>
      <c r="F16" s="97" t="str">
        <f>B6&amp;" "&amp;F6</f>
        <v xml:space="preserve"> </v>
      </c>
      <c r="G16" s="59"/>
      <c r="H16" s="59"/>
      <c r="I16" s="59"/>
      <c r="J16" s="59"/>
      <c r="K16" s="59"/>
      <c r="L16" s="71" t="s">
        <v>388</v>
      </c>
      <c r="M16" s="59"/>
      <c r="N16" s="71" t="s">
        <v>389</v>
      </c>
      <c r="O16" s="97" t="str">
        <f>N6&amp;" "&amp;R6</f>
        <v xml:space="preserve"> </v>
      </c>
      <c r="P16" s="97"/>
      <c r="Q16" s="97"/>
      <c r="R16" s="57"/>
      <c r="S16" s="57"/>
      <c r="T16" s="57"/>
      <c r="U16" s="99" t="s">
        <v>371</v>
      </c>
      <c r="V16" s="59"/>
      <c r="W16" s="59"/>
      <c r="X16" s="59"/>
      <c r="Y16" s="59"/>
      <c r="Z16" s="59"/>
      <c r="AA16" s="60"/>
      <c r="AC16" s="126" t="s">
        <v>158</v>
      </c>
      <c r="AD16" s="191" t="s">
        <v>141</v>
      </c>
      <c r="AI16" t="s">
        <v>997</v>
      </c>
      <c r="AJ16" t="s">
        <v>998</v>
      </c>
      <c r="AK16" t="s">
        <v>999</v>
      </c>
      <c r="AL16" t="s">
        <v>1000</v>
      </c>
      <c r="AM16" t="s">
        <v>1001</v>
      </c>
      <c r="AN16" t="s">
        <v>997</v>
      </c>
      <c r="AO16" t="s">
        <v>998</v>
      </c>
      <c r="AP16" t="s">
        <v>999</v>
      </c>
      <c r="AQ16" t="s">
        <v>1000</v>
      </c>
      <c r="AR16" t="s">
        <v>1001</v>
      </c>
      <c r="AS16" t="s">
        <v>997</v>
      </c>
      <c r="AT16" t="s">
        <v>998</v>
      </c>
      <c r="AU16" t="s">
        <v>999</v>
      </c>
      <c r="AV16" t="s">
        <v>1000</v>
      </c>
      <c r="AW16" t="s">
        <v>1001</v>
      </c>
      <c r="BE16" s="29" t="s">
        <v>33</v>
      </c>
      <c r="BF16" s="30" t="str">
        <f>' EQUIPE A 4'!$D$2</f>
        <v/>
      </c>
      <c r="BG16" s="31">
        <f>IFERROR(IF(' EQUIPE A 4'!L19=0,VLOOKUP(' EQUIPE A 4'!B6&amp;' EQUIPE A 4'!B11,'LISTE JOUEURS'!$P:$U,6,0),VLOOKUP(' EQUIPE A 4'!N6&amp;' EQUIPE A 4'!P10,'LISTE JOUEURS'!$P:$U,6,0)),0)</f>
        <v>0</v>
      </c>
      <c r="BH16" t="e">
        <f>+_xlfn.XLOOKUP(BG16,'LISTE JOUEURS'!$U:$U,'LISTE JOUEURS'!$Q:$Q)&amp;" "&amp;_xlfn.XLOOKUP(BG16,'LISTE JOUEURS'!$U:$U,'LISTE JOUEURS'!$R:$R)</f>
        <v>#N/A</v>
      </c>
    </row>
    <row r="17" spans="1:60" ht="25" customHeight="1" x14ac:dyDescent="0.2">
      <c r="A17" s="245"/>
      <c r="B17" s="255"/>
      <c r="C17" s="255"/>
      <c r="D17" s="255"/>
      <c r="E17" s="255"/>
      <c r="F17" s="213" t="str">
        <f>C10</f>
        <v xml:space="preserve"> </v>
      </c>
      <c r="G17" s="212"/>
      <c r="H17" s="212"/>
      <c r="I17" s="212"/>
      <c r="J17" s="212"/>
      <c r="K17" s="212"/>
      <c r="L17" s="233" t="str">
        <f>IF(ISNUMBER(A17),IF(OR(COUNTIF(A17:E17,"&gt;=0")&gt;3,COUNTIF(A17:E17,"&lt;0")&gt;3),"XXX",IF((COUNTIF(A17:E17,"&gt;=0")-COUNTIF(A17:E17,"&lt;0"))&lt;0,0,IF($I$3="SuperDiv",1,4))),IF(OR(RIGHT(F17,4)="W.O.",A17=-88,A17=-99),0,IF(OR(RIGHT(O17,4)="W.O.",A17=99,A17=88),IF($I$3="SuperDiv",1,4),"")))</f>
        <v/>
      </c>
      <c r="M17" s="234" t="s">
        <v>8</v>
      </c>
      <c r="N17" s="233" t="str">
        <f>IF(AND(ISNUMBER(A17),ISNUMBER(L17)),IF($I$3="SuperDiv",1-L17,4-L17),IF(O17="Forfait W.O.",0,IF(F17="Forfait W.O.",IF($I$3="SuperDiv",1,4),"")))</f>
        <v/>
      </c>
      <c r="O17" s="213" t="str">
        <f>+Q10</f>
        <v xml:space="preserve"> </v>
      </c>
      <c r="P17" s="212"/>
      <c r="Q17" s="212"/>
      <c r="R17" s="212"/>
      <c r="S17" s="212"/>
      <c r="T17" s="212"/>
      <c r="U17" s="256" t="str">
        <f>IF(OR(COUNTIF(A17:E17,"&gt;=0")&gt;3,COUNTIF(A17:E17,"&lt;0")&gt;3),"Sets mal notés. Refaire la saisie svp",IF(ABS(A17)=99,"Abandon avant le début de la partie",IF(ABS(A17)=88,"Abandon en cours de partie"," ")))</f>
        <v xml:space="preserve"> </v>
      </c>
      <c r="V17" s="213"/>
      <c r="W17" s="213"/>
      <c r="X17" s="213"/>
      <c r="Y17" s="213"/>
      <c r="Z17" s="213"/>
      <c r="AA17" s="216"/>
      <c r="AI17">
        <f t="shared" ref="AI17:AM21" si="0">IF(A17&gt;0,1,IF(A17&lt;0,-1,0))</f>
        <v>0</v>
      </c>
      <c r="AJ17">
        <f t="shared" si="0"/>
        <v>0</v>
      </c>
      <c r="AK17">
        <f t="shared" si="0"/>
        <v>0</v>
      </c>
      <c r="AL17">
        <f t="shared" si="0"/>
        <v>0</v>
      </c>
      <c r="AM17">
        <f t="shared" si="0"/>
        <v>0</v>
      </c>
      <c r="AN17" s="3">
        <f>IF(AND(A17&gt;0,A17&lt;10),11,IF(AND(A17&gt;0,A17&gt;9),A17+2,IF(AND(A17&lt;0,A17&gt;-10),-11,IF(AND(A17&lt;0,A17&lt;-9),A17-2,0))))</f>
        <v>0</v>
      </c>
      <c r="AO17" s="3">
        <f t="shared" ref="AO17:AR17" si="1">IF(AND(B17&gt;0,B17&lt;10),11,IF(AND(B17&gt;0,B17&gt;9),B17+2,IF(AND(B17&lt;0,B17&gt;-10),-11,IF(AND(B17&lt;0,B17&lt;-9),B17-2,0))))</f>
        <v>0</v>
      </c>
      <c r="AP17" s="3">
        <f t="shared" si="1"/>
        <v>0</v>
      </c>
      <c r="AQ17" s="3">
        <f t="shared" si="1"/>
        <v>0</v>
      </c>
      <c r="AR17" s="3">
        <f t="shared" si="1"/>
        <v>0</v>
      </c>
      <c r="AS17" s="202">
        <f>-A17</f>
        <v>0</v>
      </c>
      <c r="AT17" s="202">
        <f t="shared" ref="AT17:AW17" si="2">-B17</f>
        <v>0</v>
      </c>
      <c r="AU17" s="202">
        <f t="shared" si="2"/>
        <v>0</v>
      </c>
      <c r="AV17" s="202">
        <f t="shared" si="2"/>
        <v>0</v>
      </c>
      <c r="AW17" s="202">
        <f t="shared" si="2"/>
        <v>0</v>
      </c>
      <c r="AX17" s="202"/>
      <c r="AY17" s="3"/>
      <c r="AZ17" s="3"/>
      <c r="BE17" s="29" t="s">
        <v>32</v>
      </c>
      <c r="BF17" s="30" t="str">
        <f>' EQUIPE A 4'!$D$2</f>
        <v/>
      </c>
      <c r="BG17" s="31">
        <f>IF(I3="SuperDiv",IFERROR(IF(' EQUIPE A 4'!L20=1,VLOOKUP(' EQUIPE A 4'!B6&amp;' EQUIPE A 4'!B10,'LISTE JOUEURS'!$P:$U,6,0),VLOOKUP(' EQUIPE A 4'!N6&amp;' EQUIPE A 4'!P11,'LISTE JOUEURS'!$P:$U,6,0)),0),IFERROR(IF(' EQUIPE A 4'!L20=4,VLOOKUP(' EQUIPE A 4'!B6&amp;' EQUIPE A 4'!B10,'LISTE JOUEURS'!$P:$U,6,0),VLOOKUP(' EQUIPE A 4'!N6&amp;' EQUIPE A 4'!P11,'LISTE JOUEURS'!$P:$U,6,0)),0))</f>
        <v>0</v>
      </c>
      <c r="BH17" t="e">
        <f>+_xlfn.XLOOKUP(BG17,'LISTE JOUEURS'!$U:$U,'LISTE JOUEURS'!$Q:$Q)&amp;" "&amp;_xlfn.XLOOKUP(BG17,'LISTE JOUEURS'!$U:$U,'LISTE JOUEURS'!$R:$R)</f>
        <v>#N/A</v>
      </c>
    </row>
    <row r="18" spans="1:60" x14ac:dyDescent="0.2">
      <c r="A18" s="248"/>
      <c r="B18" s="257"/>
      <c r="C18" s="257"/>
      <c r="D18" s="257"/>
      <c r="E18" s="258"/>
      <c r="F18" s="221" t="str">
        <f>C11</f>
        <v xml:space="preserve"> </v>
      </c>
      <c r="G18" s="221"/>
      <c r="H18" s="221"/>
      <c r="I18" s="221"/>
      <c r="J18" s="221"/>
      <c r="K18" s="221"/>
      <c r="L18" s="237" t="str">
        <f>IF(ISNUMBER(A18),IF(OR(COUNTIF(A18:E18,"&gt;=0")&gt;3,COUNTIF(A18:E18,"&lt;0")&gt;3),"XXX",IF((COUNTIF(A18:E18,"&gt;=0")-COUNTIF(A18:E18,"&lt;0"))&lt;0,0,IF($I$3="SuperDiv",1,4))),IF(OR(RIGHT(F18,4)="W.O.",A18=-88,A18=-99),0,IF(OR(RIGHT(O18,4)="W.O.",A18=99,A18=88),IF($I$3="SuperDiv",1,4),"")))</f>
        <v/>
      </c>
      <c r="M18" s="238" t="s">
        <v>9</v>
      </c>
      <c r="N18" s="237" t="str">
        <f>IF(AND(ISNUMBER(A18),ISNUMBER(L18)),IF($I$3="SuperDiv",1-L18,4-L18),IF(O18="Forfait W.O.",0,IF(F18="Forfait W.O.",IF($I$3="SuperDiv",1,4),"")))</f>
        <v/>
      </c>
      <c r="O18" s="221" t="str">
        <f>+Q11</f>
        <v xml:space="preserve"> </v>
      </c>
      <c r="P18" s="220"/>
      <c r="Q18" s="220"/>
      <c r="R18" s="220"/>
      <c r="S18" s="220"/>
      <c r="T18" s="220"/>
      <c r="U18" s="259" t="str">
        <f>IF(OR(COUNTIF(A18:E18,"&gt;=0")&gt;3,COUNTIF(A18:E18,"&lt;0")&gt;3),"Sets mal notés. Refaire la saisie svp",IF(ABS(A18)=99,"Abandon avant le début de la partie",IF(ABS(A18)=88,"Abandon en cours de partie"," ")))</f>
        <v xml:space="preserve"> </v>
      </c>
      <c r="V18" s="220"/>
      <c r="W18" s="221"/>
      <c r="X18" s="221"/>
      <c r="Y18" s="221"/>
      <c r="Z18" s="221"/>
      <c r="AA18" s="224"/>
      <c r="AC18" s="125" t="s">
        <v>25</v>
      </c>
      <c r="AD18" s="125" t="s">
        <v>26</v>
      </c>
      <c r="AE18" s="172" t="s">
        <v>370</v>
      </c>
      <c r="AF18" s="173" t="s">
        <v>489</v>
      </c>
      <c r="AI18">
        <f t="shared" si="0"/>
        <v>0</v>
      </c>
      <c r="AJ18">
        <f t="shared" si="0"/>
        <v>0</v>
      </c>
      <c r="AK18">
        <f t="shared" si="0"/>
        <v>0</v>
      </c>
      <c r="AL18">
        <f t="shared" si="0"/>
        <v>0</v>
      </c>
      <c r="AM18">
        <f t="shared" si="0"/>
        <v>0</v>
      </c>
      <c r="AN18" s="3">
        <f t="shared" ref="AN18:AN21" si="3">IF(AND(A18&gt;0,A18&lt;10),11,IF(AND(A18&gt;0,A18&gt;9),A18+2,IF(AND(A18&lt;0,A18&gt;-10),-11,IF(AND(A18&lt;0,A18&lt;-9),A18-2,0))))</f>
        <v>0</v>
      </c>
      <c r="AO18" s="3">
        <f t="shared" ref="AO18:AO21" si="4">IF(AND(B18&gt;0,B18&lt;10),11,IF(AND(B18&gt;0,B18&gt;9),B18+2,IF(AND(B18&lt;0,B18&gt;-10),-11,IF(AND(B18&lt;0,B18&lt;-9),B18-2,0))))</f>
        <v>0</v>
      </c>
      <c r="AP18" s="3">
        <f t="shared" ref="AP18:AP21" si="5">IF(AND(C18&gt;0,C18&lt;10),11,IF(AND(C18&gt;0,C18&gt;9),C18+2,IF(AND(C18&lt;0,C18&gt;-10),-11,IF(AND(C18&lt;0,C18&lt;-9),C18-2,0))))</f>
        <v>0</v>
      </c>
      <c r="AQ18" s="3">
        <f t="shared" ref="AQ18:AQ21" si="6">IF(AND(D18&gt;0,D18&lt;10),11,IF(AND(D18&gt;0,D18&gt;9),D18+2,IF(AND(D18&lt;0,D18&gt;-10),-11,IF(AND(D18&lt;0,D18&lt;-9),D18-2,0))))</f>
        <v>0</v>
      </c>
      <c r="AR18" s="3">
        <f t="shared" ref="AR18:AR21" si="7">IF(AND(E18&gt;0,E18&lt;10),11,IF(AND(E18&gt;0,E18&gt;9),E18+2,IF(AND(E18&lt;0,E18&gt;-10),-11,IF(AND(E18&lt;0,E18&lt;-9),E18-2,0))))</f>
        <v>0</v>
      </c>
      <c r="AS18" s="202">
        <f t="shared" ref="AS18:AS21" si="8">-A18</f>
        <v>0</v>
      </c>
      <c r="AT18" s="202">
        <f t="shared" ref="AT18:AT21" si="9">-B18</f>
        <v>0</v>
      </c>
      <c r="AU18" s="202">
        <f t="shared" ref="AU18:AU21" si="10">-C18</f>
        <v>0</v>
      </c>
      <c r="AV18" s="202">
        <f t="shared" ref="AV18:AV21" si="11">-D18</f>
        <v>0</v>
      </c>
      <c r="AW18" s="202">
        <f t="shared" ref="AW18:AW21" si="12">-E18</f>
        <v>0</v>
      </c>
      <c r="AX18" s="202"/>
      <c r="AY18" s="3"/>
      <c r="AZ18" s="3"/>
      <c r="BE18" s="29" t="s">
        <v>33</v>
      </c>
      <c r="BF18" s="30" t="str">
        <f>' EQUIPE A 4'!$D$2</f>
        <v/>
      </c>
      <c r="BG18" s="31">
        <f>IFERROR(IF(' EQUIPE A 4'!L20=0,VLOOKUP(' EQUIPE A 4'!B6&amp;' EQUIPE A 4'!B10,'LISTE JOUEURS'!$P:$U,6,0),VLOOKUP(' EQUIPE A 4'!N6&amp;' EQUIPE A 4'!P11,'LISTE JOUEURS'!$P:$U,6,0)),0)</f>
        <v>0</v>
      </c>
      <c r="BH18" t="e">
        <f>+_xlfn.XLOOKUP(BG18,'LISTE JOUEURS'!$U:$U,'LISTE JOUEURS'!$Q:$Q)&amp;" "&amp;_xlfn.XLOOKUP(BG18,'LISTE JOUEURS'!$U:$U,'LISTE JOUEURS'!$R:$R)</f>
        <v>#N/A</v>
      </c>
    </row>
    <row r="19" spans="1:60" x14ac:dyDescent="0.2">
      <c r="A19" s="248"/>
      <c r="B19" s="257"/>
      <c r="C19" s="257"/>
      <c r="D19" s="257"/>
      <c r="E19" s="258"/>
      <c r="F19" s="221" t="str">
        <f>C11</f>
        <v xml:space="preserve"> </v>
      </c>
      <c r="G19" s="221"/>
      <c r="H19" s="221"/>
      <c r="I19" s="221"/>
      <c r="J19" s="221"/>
      <c r="K19" s="221"/>
      <c r="L19" s="237" t="str">
        <f>IF(ISNUMBER(A19),IF(OR(COUNTIF(A19:E19,"&gt;=0")&gt;3,COUNTIF(A19:E19,"&lt;0")&gt;3),"XXX",IF((COUNTIF(A19:E19,"&gt;=0")-COUNTIF(A19:E19,"&lt;0"))&lt;0,0,IF($I$3="SuperDiv",1,4))),IF(OR(RIGHT(F19,4)="W.O.",A19=-88,A19=-99),0,IF(OR(RIGHT(O19,4)="W.O.",A19=99,A19=88),IF($I$3="SuperDiv",1,4),"")))</f>
        <v/>
      </c>
      <c r="M19" s="238" t="s">
        <v>10</v>
      </c>
      <c r="N19" s="237" t="str">
        <f>IF(AND(ISNUMBER(A19),ISNUMBER(L19)),IF($I$3="SuperDiv",1-L19,4-L19),IF(O19="Forfait W.O.",0,IF(F19="Forfait W.O.",IF($I$3="SuperDiv",1,4),"")))</f>
        <v/>
      </c>
      <c r="O19" s="221" t="str">
        <f>+Q10</f>
        <v xml:space="preserve"> </v>
      </c>
      <c r="P19" s="220"/>
      <c r="Q19" s="220"/>
      <c r="R19" s="220"/>
      <c r="S19" s="220"/>
      <c r="T19" s="220"/>
      <c r="U19" s="259" t="str">
        <f>IF(OR(COUNTIF(A19:E19,"&gt;=0")&gt;3,COUNTIF(A19:E19,"&lt;0")&gt;3),"Sets mal notés. Refaire la saisie svp",IF(ABS(A19)=99,"Abandon avant le début de la partie",IF(ABS(A19)=88,"Abandon en cours de partie"," ")))</f>
        <v xml:space="preserve"> </v>
      </c>
      <c r="V19" s="221"/>
      <c r="W19" s="221"/>
      <c r="X19" s="221"/>
      <c r="Y19" s="221"/>
      <c r="Z19" s="221"/>
      <c r="AA19" s="224"/>
      <c r="AC19" s="3" t="s">
        <v>1067</v>
      </c>
      <c r="AD19" t="s">
        <v>1089</v>
      </c>
      <c r="AE19" s="9">
        <v>1</v>
      </c>
      <c r="AF19" t="s">
        <v>1856</v>
      </c>
      <c r="AI19">
        <f t="shared" si="0"/>
        <v>0</v>
      </c>
      <c r="AJ19">
        <f t="shared" si="0"/>
        <v>0</v>
      </c>
      <c r="AK19">
        <f t="shared" si="0"/>
        <v>0</v>
      </c>
      <c r="AL19">
        <f t="shared" si="0"/>
        <v>0</v>
      </c>
      <c r="AM19">
        <f t="shared" si="0"/>
        <v>0</v>
      </c>
      <c r="AN19" s="3">
        <f t="shared" si="3"/>
        <v>0</v>
      </c>
      <c r="AO19" s="3">
        <f t="shared" si="4"/>
        <v>0</v>
      </c>
      <c r="AP19" s="3">
        <f t="shared" si="5"/>
        <v>0</v>
      </c>
      <c r="AQ19" s="3">
        <f t="shared" si="6"/>
        <v>0</v>
      </c>
      <c r="AR19" s="3">
        <f t="shared" si="7"/>
        <v>0</v>
      </c>
      <c r="AS19" s="202">
        <f t="shared" si="8"/>
        <v>0</v>
      </c>
      <c r="AT19" s="202">
        <f t="shared" si="9"/>
        <v>0</v>
      </c>
      <c r="AU19" s="202">
        <f t="shared" si="10"/>
        <v>0</v>
      </c>
      <c r="AV19" s="202">
        <f t="shared" si="11"/>
        <v>0</v>
      </c>
      <c r="AW19" s="202">
        <f t="shared" si="12"/>
        <v>0</v>
      </c>
      <c r="AX19" s="202"/>
      <c r="AY19" s="3"/>
      <c r="AZ19" s="3"/>
      <c r="BE19" s="29" t="s">
        <v>32</v>
      </c>
      <c r="BF19" s="30" t="str">
        <f>' EQUIPE A 4'!$D$2</f>
        <v/>
      </c>
      <c r="BG19" s="31">
        <f>IF(I3="SuperDiv",IFERROR(IF(' EQUIPE A 4'!L27=1,VLOOKUP(' EQUIPE A 4'!B6&amp;' EQUIPE A 4'!B12,'LISTE JOUEURS'!$P:$U,6,0),VLOOKUP(' EQUIPE A 4'!N6&amp;' EQUIPE A 4'!P12,'LISTE JOUEURS'!$P:$U,6,0)),0),IFERROR(IF(' EQUIPE A 4'!L27=3,VLOOKUP(' EQUIPE A 4'!B6&amp;' EQUIPE A 4'!B12,'LISTE JOUEURS'!$P:$U,6,0),VLOOKUP(' EQUIPE A 4'!N6&amp;' EQUIPE A 4'!P12,'LISTE JOUEURS'!$P:$U,6,0)),0))</f>
        <v>0</v>
      </c>
      <c r="BH19" t="e">
        <f>+_xlfn.XLOOKUP(BG19,'LISTE JOUEURS'!$U:$U,'LISTE JOUEURS'!$Q:$Q)&amp;" "&amp;_xlfn.XLOOKUP(BG19,'LISTE JOUEURS'!$U:$U,'LISTE JOUEURS'!$R:$R)</f>
        <v>#N/A</v>
      </c>
    </row>
    <row r="20" spans="1:60" x14ac:dyDescent="0.2">
      <c r="A20" s="248"/>
      <c r="B20" s="257"/>
      <c r="C20" s="257"/>
      <c r="D20" s="257"/>
      <c r="E20" s="258"/>
      <c r="F20" s="221" t="str">
        <f>C10</f>
        <v xml:space="preserve"> </v>
      </c>
      <c r="G20" s="221"/>
      <c r="H20" s="221"/>
      <c r="I20" s="221"/>
      <c r="J20" s="221"/>
      <c r="K20" s="221"/>
      <c r="L20" s="237" t="str">
        <f>IF(ISNUMBER(A20),IF(OR(COUNTIF(A20:E20,"&gt;=0")&gt;3,COUNTIF(A20:E20,"&lt;0")&gt;3),"XXX",IF((COUNTIF(A20:E20,"&gt;=0")-COUNTIF(A20:E20,"&lt;0"))&lt;0,0,IF($I$3="SuperDiv",1,4))),IF(OR(RIGHT(F20,4)="W.O.",A20=-88,A20=-99),0,IF(OR(RIGHT(O20,4)="W.O.",A20=99,A20=88),IF($I$3="SuperDiv",1,4),"")))</f>
        <v/>
      </c>
      <c r="M20" s="238" t="s">
        <v>11</v>
      </c>
      <c r="N20" s="237" t="str">
        <f>IF(AND(ISNUMBER(A20),ISNUMBER(L20)),IF($I$3="SuperDiv",1-L20,4-L20),IF(O20="Forfait W.O.",0,IF(F20="Forfait W.O.",IF($I$3="SuperDiv",1,4),"")))</f>
        <v/>
      </c>
      <c r="O20" s="221" t="str">
        <f>+Q11</f>
        <v xml:space="preserve"> </v>
      </c>
      <c r="P20" s="220"/>
      <c r="Q20" s="220"/>
      <c r="R20" s="220"/>
      <c r="S20" s="220"/>
      <c r="T20" s="220"/>
      <c r="U20" s="259" t="str">
        <f>IF(OR(COUNTIF(A20:E20,"&gt;=0")&gt;3,COUNTIF(A20:E20,"&lt;0")&gt;3),"Sets mal notés. Refaire la saisie svp",IF(ABS(A20)=99,"Abandon avant le début de la partie",IF(ABS(A20)=88,"Abandon en cours de partie"," ")))</f>
        <v xml:space="preserve"> </v>
      </c>
      <c r="V20" s="221"/>
      <c r="W20" s="221"/>
      <c r="X20" s="221"/>
      <c r="Y20" s="221"/>
      <c r="Z20" s="221"/>
      <c r="AA20" s="224"/>
      <c r="AC20" s="3" t="s">
        <v>34</v>
      </c>
      <c r="AD20" t="s">
        <v>278</v>
      </c>
      <c r="AE20" s="9">
        <v>2</v>
      </c>
      <c r="AF20" t="s">
        <v>1643</v>
      </c>
      <c r="AI20">
        <f t="shared" si="0"/>
        <v>0</v>
      </c>
      <c r="AJ20">
        <f t="shared" si="0"/>
        <v>0</v>
      </c>
      <c r="AK20">
        <f t="shared" si="0"/>
        <v>0</v>
      </c>
      <c r="AL20">
        <f t="shared" si="0"/>
        <v>0</v>
      </c>
      <c r="AM20">
        <f t="shared" si="0"/>
        <v>0</v>
      </c>
      <c r="AN20" s="3">
        <f t="shared" si="3"/>
        <v>0</v>
      </c>
      <c r="AO20" s="3">
        <f t="shared" si="4"/>
        <v>0</v>
      </c>
      <c r="AP20" s="3">
        <f t="shared" si="5"/>
        <v>0</v>
      </c>
      <c r="AQ20" s="3">
        <f t="shared" si="6"/>
        <v>0</v>
      </c>
      <c r="AR20" s="3">
        <f t="shared" si="7"/>
        <v>0</v>
      </c>
      <c r="AS20" s="202">
        <f t="shared" si="8"/>
        <v>0</v>
      </c>
      <c r="AT20" s="202">
        <f t="shared" si="9"/>
        <v>0</v>
      </c>
      <c r="AU20" s="202">
        <f t="shared" si="10"/>
        <v>0</v>
      </c>
      <c r="AV20" s="202">
        <f t="shared" si="11"/>
        <v>0</v>
      </c>
      <c r="AW20" s="202">
        <f t="shared" si="12"/>
        <v>0</v>
      </c>
      <c r="AX20" s="202"/>
      <c r="AY20" s="3"/>
      <c r="AZ20" s="3"/>
      <c r="BE20" s="29" t="s">
        <v>33</v>
      </c>
      <c r="BF20" s="30" t="str">
        <f>' EQUIPE A 4'!$D$2</f>
        <v/>
      </c>
      <c r="BG20" s="31">
        <f>IFERROR(IF(' EQUIPE A 4'!L27=0,VLOOKUP(' EQUIPE A 4'!B6&amp;' EQUIPE A 4'!B12,'LISTE JOUEURS'!$P:$U,6,0),VLOOKUP(' EQUIPE A 4'!N6&amp;' EQUIPE A 4'!P12,'LISTE JOUEURS'!$P:$U,6,0)),0)</f>
        <v>0</v>
      </c>
      <c r="BH20" t="e">
        <f>+_xlfn.XLOOKUP(BG20,'LISTE JOUEURS'!$U:$U,'LISTE JOUEURS'!$Q:$Q)&amp;" "&amp;_xlfn.XLOOKUP(BG20,'LISTE JOUEURS'!$U:$U,'LISTE JOUEURS'!$R:$R)</f>
        <v>#N/A</v>
      </c>
    </row>
    <row r="21" spans="1:60" ht="17" thickBot="1" x14ac:dyDescent="0.25">
      <c r="A21" s="252"/>
      <c r="B21" s="260"/>
      <c r="C21" s="260"/>
      <c r="D21" s="260"/>
      <c r="E21" s="260"/>
      <c r="F21" s="227" t="str">
        <f>IF(OR(F17="Forfait W.O.",F18="Forfait W.O."),B6&amp;" "&amp;F6&amp;" W.O.",B6&amp;" "&amp;F6)</f>
        <v xml:space="preserve"> </v>
      </c>
      <c r="G21" s="228"/>
      <c r="H21" s="228"/>
      <c r="I21" s="228"/>
      <c r="J21" s="228"/>
      <c r="K21" s="228"/>
      <c r="L21" s="242" t="str">
        <f>IF(ISNUMBER(A21),IF(OR(COUNTIF(A21:E21,"&gt;=0")&gt;3,COUNTIF(A21:E21,"&lt;0")&gt;3),"XXX",IF((COUNTIF(A21:E21,"&gt;=0")-COUNTIF(A21:E21,"&lt;0"))&lt;0,0,IF($I$3="SuperDiv",2,6))),IF(OR(RIGHT(F21,4)="W.O.",A21=-88,A21=-99),0,IF(OR(RIGHT(O21,4)="W.O.",A21=99,A21=88),IF($I$3="SuperDiv",2,6),"")))</f>
        <v/>
      </c>
      <c r="M21" s="261" t="s">
        <v>21</v>
      </c>
      <c r="N21" s="242" t="str">
        <f>IF(AND(ISNUMBER(A21),ISNUMBER(L21)),IF($I$3="SuperDiv",2-L21,6-L21),IF(RIGHT(O21,4)="W.O.",0,IF(RIGHT(F21,4)="W.O.",IF($I$3="SuperDiv",2,6),"")))</f>
        <v/>
      </c>
      <c r="O21" s="227" t="str">
        <f>IF(OR(O17="Forfait W.O.",O18="Forfait W.O."),N6&amp;" "&amp;R6&amp;" W.O.",N6&amp;" "&amp;R6)</f>
        <v xml:space="preserve"> </v>
      </c>
      <c r="P21" s="227"/>
      <c r="Q21" s="227"/>
      <c r="R21" s="227"/>
      <c r="S21" s="227"/>
      <c r="T21" s="227"/>
      <c r="U21" s="262" t="str">
        <f>IF(OR(COUNTIF(A21:E21,"&gt;=0")&gt;3,COUNTIF(A21:E21,"&lt;0")&gt;3),"Sets mal notés. Refaire la saisie svp",IF(ABS(A21)=99,"Abandon avant le début de la partie",IF(ABS(A21)=88,"Abandon en cours de partie"," ")))</f>
        <v xml:space="preserve"> </v>
      </c>
      <c r="V21" s="228"/>
      <c r="W21" s="228"/>
      <c r="X21" s="228"/>
      <c r="Y21" s="228"/>
      <c r="Z21" s="228"/>
      <c r="AA21" s="231"/>
      <c r="AC21" s="3" t="s">
        <v>35</v>
      </c>
      <c r="AD21" t="s">
        <v>279</v>
      </c>
      <c r="AE21" s="9">
        <v>3</v>
      </c>
      <c r="AF21" t="s">
        <v>1643</v>
      </c>
      <c r="AI21">
        <f t="shared" si="0"/>
        <v>0</v>
      </c>
      <c r="AJ21">
        <f t="shared" si="0"/>
        <v>0</v>
      </c>
      <c r="AK21">
        <f t="shared" si="0"/>
        <v>0</v>
      </c>
      <c r="AL21">
        <f t="shared" si="0"/>
        <v>0</v>
      </c>
      <c r="AM21">
        <f t="shared" si="0"/>
        <v>0</v>
      </c>
      <c r="AN21" s="3">
        <f t="shared" si="3"/>
        <v>0</v>
      </c>
      <c r="AO21" s="3">
        <f t="shared" si="4"/>
        <v>0</v>
      </c>
      <c r="AP21" s="3">
        <f t="shared" si="5"/>
        <v>0</v>
      </c>
      <c r="AQ21" s="3">
        <f t="shared" si="6"/>
        <v>0</v>
      </c>
      <c r="AR21" s="3">
        <f t="shared" si="7"/>
        <v>0</v>
      </c>
      <c r="AS21" s="202">
        <f t="shared" si="8"/>
        <v>0</v>
      </c>
      <c r="AT21" s="202">
        <f t="shared" si="9"/>
        <v>0</v>
      </c>
      <c r="AU21" s="202">
        <f t="shared" si="10"/>
        <v>0</v>
      </c>
      <c r="AV21" s="202">
        <f t="shared" si="11"/>
        <v>0</v>
      </c>
      <c r="AW21" s="202">
        <f t="shared" si="12"/>
        <v>0</v>
      </c>
      <c r="AX21" s="202"/>
      <c r="AY21" s="3"/>
      <c r="AZ21" s="3"/>
      <c r="BC21" t="s">
        <v>380</v>
      </c>
      <c r="BD21" t="s">
        <v>398</v>
      </c>
      <c r="BE21" s="29" t="s">
        <v>32</v>
      </c>
      <c r="BF21" s="30" t="str">
        <f>' EQUIPE A 4'!$D$2</f>
        <v/>
      </c>
      <c r="BG21" s="31">
        <f>IF(I3="SuperDiv",IFERROR(IF(' EQUIPE A 4'!L28=1,VLOOKUP(' EQUIPE A 4'!B6&amp;' EQUIPE A 4'!B13,'LISTE JOUEURS'!$P:$U,6,0),VLOOKUP(' EQUIPE A 4'!N6&amp;' EQUIPE A 4'!P13,'LISTE JOUEURS'!$P:$U,6,0)),0),IFERROR(IF(' EQUIPE A 4'!L28=3,VLOOKUP(' EQUIPE A 4'!B6&amp;' EQUIPE A 4'!B13,'LISTE JOUEURS'!$P:$U,6,0),VLOOKUP(' EQUIPE A 4'!N6&amp;' EQUIPE A 4'!P13,'LISTE JOUEURS'!$P:$U,6,0)),0))</f>
        <v>0</v>
      </c>
      <c r="BH21" t="e">
        <f>+_xlfn.XLOOKUP(BG21,'LISTE JOUEURS'!$U:$U,'LISTE JOUEURS'!$Q:$Q)&amp;" "&amp;_xlfn.XLOOKUP(BG21,'LISTE JOUEURS'!$U:$U,'LISTE JOUEURS'!$R:$R)</f>
        <v>#N/A</v>
      </c>
    </row>
    <row r="22" spans="1:60" ht="17" thickTop="1" x14ac:dyDescent="0.2">
      <c r="P22" s="27"/>
      <c r="Q22" s="27"/>
      <c r="R22" s="27"/>
      <c r="S22" s="27"/>
      <c r="T22" s="27"/>
      <c r="AC22" s="3" t="s">
        <v>1064</v>
      </c>
      <c r="AD22" t="s">
        <v>293</v>
      </c>
      <c r="AE22" s="9">
        <v>4</v>
      </c>
      <c r="AF22" t="s">
        <v>1643</v>
      </c>
      <c r="AL22" s="3"/>
      <c r="AM22" s="3"/>
      <c r="AU22" s="3"/>
      <c r="AV22" s="3"/>
      <c r="AW22" s="3"/>
      <c r="AX22" s="3"/>
      <c r="BD22" t="s">
        <v>402</v>
      </c>
      <c r="BE22" s="29" t="s">
        <v>33</v>
      </c>
      <c r="BF22" s="30" t="str">
        <f>' EQUIPE A 4'!$D$2</f>
        <v/>
      </c>
      <c r="BG22" s="31">
        <f>IFERROR(IF(' EQUIPE A 4'!L28=0,VLOOKUP(' EQUIPE A 4'!B6&amp;' EQUIPE A 4'!B13,'LISTE JOUEURS'!$P:$U,6,0),VLOOKUP(' EQUIPE A 4'!N6&amp;' EQUIPE A 4'!P13,'LISTE JOUEURS'!$P:$U,6,0)),0)</f>
        <v>0</v>
      </c>
      <c r="BH22" t="e">
        <f>+_xlfn.XLOOKUP(BG22,'LISTE JOUEURS'!$U:$U,'LISTE JOUEURS'!$Q:$Q)&amp;" "&amp;_xlfn.XLOOKUP(BG22,'LISTE JOUEURS'!$U:$U,'LISTE JOUEURS'!$R:$R)</f>
        <v>#N/A</v>
      </c>
    </row>
    <row r="23" spans="1:60" ht="19" x14ac:dyDescent="0.25">
      <c r="I23" s="113" t="s">
        <v>390</v>
      </c>
      <c r="J23" s="103"/>
      <c r="K23" s="103"/>
      <c r="L23" s="104">
        <f>SUM(L17:L21)</f>
        <v>0</v>
      </c>
      <c r="M23" s="105"/>
      <c r="N23" s="106">
        <f>SUM(N17:N21)</f>
        <v>0</v>
      </c>
      <c r="P23" s="193" t="str">
        <f>IF(OR(SUM(I10:I13)=0,SUM(X10:X13)=0),"",IF(AZ15=0,"","ATTENTION IL Y A UNE ERREUR DE PLACEMENT DE JOUEUR"))</f>
        <v/>
      </c>
      <c r="Q23" s="27"/>
      <c r="R23" s="27"/>
      <c r="S23" s="27"/>
      <c r="T23" s="27"/>
      <c r="AC23" s="3" t="s">
        <v>1065</v>
      </c>
      <c r="AD23" t="s">
        <v>1086</v>
      </c>
      <c r="AE23" s="9">
        <v>5</v>
      </c>
      <c r="AF23" t="s">
        <v>1856</v>
      </c>
      <c r="AL23" s="3"/>
      <c r="AM23" s="3"/>
      <c r="AU23" s="3"/>
      <c r="AV23" s="3"/>
      <c r="AW23" s="3"/>
      <c r="AX23" s="3"/>
      <c r="BD23" t="s">
        <v>382</v>
      </c>
      <c r="BE23" s="29" t="s">
        <v>32</v>
      </c>
      <c r="BF23" s="30" t="str">
        <f>' EQUIPE A 4'!$D$2</f>
        <v/>
      </c>
      <c r="BG23" s="31">
        <f>IF(I3="SuperDiv",IFERROR(IF(' EQUIPE A 4'!L30=1,VLOOKUP(' EQUIPE A 4'!B6&amp;' EQUIPE A 4'!B13,'LISTE JOUEURS'!$P:$U,6,0),VLOOKUP(' EQUIPE A 4'!N6&amp;' EQUIPE A 4'!P12,'LISTE JOUEURS'!$P:$U,6,0)),0),IFERROR(IF(' EQUIPE A 4'!L30=3,VLOOKUP(' EQUIPE A 4'!B6&amp;' EQUIPE A 4'!B13,'LISTE JOUEURS'!$P:$U,6,0),VLOOKUP(' EQUIPE A 4'!N6&amp;' EQUIPE A 4'!P12,'LISTE JOUEURS'!$P:$U,6,0)),0))</f>
        <v>0</v>
      </c>
      <c r="BH23" t="e">
        <f>+_xlfn.XLOOKUP(BG23,'LISTE JOUEURS'!$U:$U,'LISTE JOUEURS'!$Q:$Q)&amp;" "&amp;_xlfn.XLOOKUP(BG23,'LISTE JOUEURS'!$U:$U,'LISTE JOUEURS'!$R:$R)</f>
        <v>#N/A</v>
      </c>
    </row>
    <row r="24" spans="1:60" x14ac:dyDescent="0.2">
      <c r="A24" s="27"/>
      <c r="B24" s="27"/>
      <c r="C24" s="27"/>
      <c r="D24" s="27"/>
      <c r="P24" s="27"/>
      <c r="Q24" s="27"/>
      <c r="R24" s="27"/>
      <c r="S24" s="27"/>
      <c r="T24" s="27"/>
      <c r="V24" s="27"/>
      <c r="W24" s="27"/>
      <c r="AC24" s="3"/>
      <c r="AD24" t="s">
        <v>1087</v>
      </c>
      <c r="AE24" s="9">
        <v>6</v>
      </c>
      <c r="AF24" t="s">
        <v>1856</v>
      </c>
      <c r="AL24" s="3"/>
      <c r="AM24" s="3"/>
      <c r="AU24" s="3"/>
      <c r="AV24" s="3"/>
      <c r="AW24" s="3"/>
      <c r="AX24" s="3"/>
      <c r="BD24" t="s">
        <v>383</v>
      </c>
      <c r="BE24" s="29" t="s">
        <v>33</v>
      </c>
      <c r="BF24" s="30" t="str">
        <f>' EQUIPE A 4'!$D$2</f>
        <v/>
      </c>
      <c r="BG24" s="31">
        <f>IFERROR(IF(' EQUIPE A 4'!L30=0,VLOOKUP(' EQUIPE A 4'!B6&amp;' EQUIPE A 4'!B13,'LISTE JOUEURS'!$P:$U,6,0),VLOOKUP(' EQUIPE A 4'!N6&amp;' EQUIPE A 4'!P12,'LISTE JOUEURS'!$P:$U,6,0)),0)</f>
        <v>0</v>
      </c>
      <c r="BH24" t="e">
        <f>+_xlfn.XLOOKUP(BG24,'LISTE JOUEURS'!$U:$U,'LISTE JOUEURS'!$Q:$Q)&amp;" "&amp;_xlfn.XLOOKUP(BG24,'LISTE JOUEURS'!$U:$U,'LISTE JOUEURS'!$R:$R)</f>
        <v>#N/A</v>
      </c>
    </row>
    <row r="25" spans="1:60" ht="17" thickBot="1" x14ac:dyDescent="0.25">
      <c r="A25" s="27"/>
      <c r="B25" s="27"/>
      <c r="C25" s="27"/>
      <c r="D25" s="27"/>
      <c r="E25" s="27"/>
      <c r="G25" s="87"/>
      <c r="H25" s="87"/>
      <c r="I25" s="27"/>
      <c r="J25" s="27" t="s">
        <v>400</v>
      </c>
      <c r="K25" s="27"/>
      <c r="L25" s="27"/>
      <c r="M25" s="27"/>
      <c r="N25" s="87"/>
      <c r="O25" s="87"/>
      <c r="P25" s="27"/>
      <c r="Q25" s="27"/>
      <c r="R25" s="27"/>
      <c r="S25" s="27"/>
      <c r="T25" s="27"/>
      <c r="AC25" s="3" t="s">
        <v>1597</v>
      </c>
      <c r="AD25" t="s">
        <v>321</v>
      </c>
      <c r="AE25" s="9">
        <v>7</v>
      </c>
      <c r="AF25" t="s">
        <v>1856</v>
      </c>
      <c r="AL25" s="3"/>
      <c r="AM25" s="3"/>
      <c r="BE25" s="29" t="s">
        <v>32</v>
      </c>
      <c r="BF25" s="30" t="str">
        <f>' EQUIPE A 4'!$D$2</f>
        <v/>
      </c>
      <c r="BG25" s="31">
        <f>IF(I3="SuperDiv",IFERROR(IF(' EQUIPE A 4'!L31=1,VLOOKUP(' EQUIPE A 4'!B6&amp;' EQUIPE A 4'!B12,'LISTE JOUEURS'!$P:$U,6,0),VLOOKUP(' EQUIPE A 4'!N6&amp;' EQUIPE A 4'!P13,'LISTE JOUEURS'!$P:$U,6,0)),0),IFERROR(IF(' EQUIPE A 4'!L31=3,VLOOKUP(' EQUIPE A 4'!B6&amp;' EQUIPE A 4'!B12,'LISTE JOUEURS'!$P:$U,6,0),VLOOKUP(' EQUIPE A 4'!N6&amp;' EQUIPE A 4'!P13,'LISTE JOUEURS'!$P:$U,6,0)),0))</f>
        <v>0</v>
      </c>
      <c r="BH25" t="e">
        <f>+_xlfn.XLOOKUP(BG25,'LISTE JOUEURS'!$U:$U,'LISTE JOUEURS'!$Q:$Q)&amp;" "&amp;_xlfn.XLOOKUP(BG25,'LISTE JOUEURS'!$U:$U,'LISTE JOUEURS'!$R:$R)</f>
        <v>#N/A</v>
      </c>
    </row>
    <row r="26" spans="1:60" ht="18" thickTop="1" thickBot="1" x14ac:dyDescent="0.25">
      <c r="A26" s="70" t="s">
        <v>12</v>
      </c>
      <c r="B26" s="71" t="s">
        <v>13</v>
      </c>
      <c r="C26" s="71" t="s">
        <v>14</v>
      </c>
      <c r="D26" s="71" t="s">
        <v>15</v>
      </c>
      <c r="E26" s="71" t="s">
        <v>16</v>
      </c>
      <c r="F26" s="59" t="str">
        <f>+F16</f>
        <v xml:space="preserve"> </v>
      </c>
      <c r="G26" s="59"/>
      <c r="H26" s="59"/>
      <c r="I26" s="59"/>
      <c r="J26" s="59"/>
      <c r="K26" s="74"/>
      <c r="L26" s="71" t="s">
        <v>392</v>
      </c>
      <c r="M26" s="102"/>
      <c r="N26" s="71" t="s">
        <v>393</v>
      </c>
      <c r="O26" s="59" t="str">
        <f>+O16</f>
        <v xml:space="preserve"> </v>
      </c>
      <c r="P26" s="57"/>
      <c r="Q26" s="57"/>
      <c r="R26" s="57"/>
      <c r="S26" s="57"/>
      <c r="T26" s="95"/>
      <c r="U26" s="59"/>
      <c r="V26" s="59"/>
      <c r="W26" s="59"/>
      <c r="X26" s="59"/>
      <c r="Y26" s="59"/>
      <c r="Z26" s="59"/>
      <c r="AA26" s="60"/>
      <c r="AC26" s="3" t="s">
        <v>36</v>
      </c>
      <c r="AD26" t="s">
        <v>280</v>
      </c>
      <c r="AE26" s="9">
        <v>8</v>
      </c>
      <c r="AF26" t="s">
        <v>1643</v>
      </c>
      <c r="AI26" t="s">
        <v>997</v>
      </c>
      <c r="AJ26" t="s">
        <v>998</v>
      </c>
      <c r="AK26" t="s">
        <v>999</v>
      </c>
      <c r="AL26" t="s">
        <v>1000</v>
      </c>
      <c r="AM26" t="s">
        <v>1001</v>
      </c>
      <c r="AN26" t="s">
        <v>997</v>
      </c>
      <c r="AO26" t="s">
        <v>998</v>
      </c>
      <c r="AP26" t="s">
        <v>999</v>
      </c>
      <c r="AQ26" t="s">
        <v>1000</v>
      </c>
      <c r="AR26" t="s">
        <v>1001</v>
      </c>
      <c r="AS26" t="s">
        <v>997</v>
      </c>
      <c r="AT26" t="s">
        <v>998</v>
      </c>
      <c r="AU26" t="s">
        <v>999</v>
      </c>
      <c r="AV26" t="s">
        <v>1000</v>
      </c>
      <c r="AW26" t="s">
        <v>1001</v>
      </c>
      <c r="BE26" s="32" t="s">
        <v>33</v>
      </c>
      <c r="BF26" s="33" t="str">
        <f>' EQUIPE A 4'!$D$2</f>
        <v/>
      </c>
      <c r="BG26" s="34">
        <f>IFERROR(IF(' EQUIPE A 4'!L31=0,VLOOKUP(' EQUIPE A 4'!B6&amp;' EQUIPE A 4'!B12,'LISTE JOUEURS'!$P:$U,6,0),VLOOKUP(' EQUIPE A 4'!N6&amp;' EQUIPE A 4'!P13,'LISTE JOUEURS'!$P:$U,6,0)),0)</f>
        <v>0</v>
      </c>
      <c r="BH26" t="e">
        <f>+_xlfn.XLOOKUP(BG26,'LISTE JOUEURS'!$U:$U,'LISTE JOUEURS'!$Q:$Q)&amp;" "&amp;_xlfn.XLOOKUP(BG26,'LISTE JOUEURS'!$U:$U,'LISTE JOUEURS'!$R:$R)</f>
        <v>#N/A</v>
      </c>
    </row>
    <row r="27" spans="1:60" x14ac:dyDescent="0.2">
      <c r="A27" s="245"/>
      <c r="B27" s="246"/>
      <c r="C27" s="246"/>
      <c r="D27" s="246"/>
      <c r="E27" s="246"/>
      <c r="F27" s="213" t="str">
        <f>C12</f>
        <v xml:space="preserve"> </v>
      </c>
      <c r="G27" s="213"/>
      <c r="H27" s="213"/>
      <c r="I27" s="213"/>
      <c r="J27" s="213"/>
      <c r="K27" s="371"/>
      <c r="L27" s="233" t="str">
        <f>IF(ISNUMBER(A27),IF(OR(COUNTIF(A27:E27,"&gt;=0")&gt;3,COUNTIF(A27:E27,"&lt;0")&gt;3),"XXX",IF((COUNTIF(A27:E27,"&gt;=0")-COUNTIF(A27:E27,"&lt;0"))&lt;0,0,IF($I$3="SuperDiv",1,3))),IF(OR(RIGHT(F27,4)="W.O.",A27=-88,A27=-99),0,IF(OR(RIGHT(O27,4)="W.O.",A27=99,A27=88),IF($I$3="SuperDiv",1,3),"")))</f>
        <v/>
      </c>
      <c r="M27" s="247" t="s">
        <v>17</v>
      </c>
      <c r="N27" s="233" t="str">
        <f>IF(AND(ISNUMBER(A27),ISNUMBER(L27)),IF($I$3="SuperDiv",1-L27,3-L27),IF(O27="Forfait W.O.",0,IF(F27="Forfait W.O.",IF($I$3="SuperDiv",1,3),"")))</f>
        <v/>
      </c>
      <c r="O27" s="213" t="str">
        <f>Q12</f>
        <v xml:space="preserve"> </v>
      </c>
      <c r="P27" s="212"/>
      <c r="Q27" s="212"/>
      <c r="R27" s="212"/>
      <c r="S27" s="212"/>
      <c r="T27" s="235"/>
      <c r="U27" s="213" t="str">
        <f>IF(OR(COUNTIF(A27:E27,"&gt;=0")&gt;3,COUNTIF(A27:E27,"&lt;0")&gt;3),"Sets mal notés. Refaire la saisie svp",IF(ABS(A27)=99,"Abandon avant le début de la partie",IF(ABS(A27)=88,"Abandon en cours de partie"," ")))</f>
        <v xml:space="preserve"> </v>
      </c>
      <c r="V27" s="213"/>
      <c r="W27" s="213"/>
      <c r="X27" s="213"/>
      <c r="Y27" s="213"/>
      <c r="Z27" s="213"/>
      <c r="AA27" s="216"/>
      <c r="AC27" s="3" t="s">
        <v>1855</v>
      </c>
      <c r="AD27" t="s">
        <v>289</v>
      </c>
      <c r="AE27" s="9">
        <v>9</v>
      </c>
      <c r="AF27" t="s">
        <v>1643</v>
      </c>
      <c r="AI27">
        <f t="shared" ref="AI27:AM31" si="13">IF(A27&gt;0,1,IF(A27&lt;0,-1,0))</f>
        <v>0</v>
      </c>
      <c r="AJ27">
        <f t="shared" si="13"/>
        <v>0</v>
      </c>
      <c r="AK27">
        <f t="shared" si="13"/>
        <v>0</v>
      </c>
      <c r="AL27">
        <f t="shared" si="13"/>
        <v>0</v>
      </c>
      <c r="AM27">
        <f t="shared" si="13"/>
        <v>0</v>
      </c>
      <c r="AN27" s="3">
        <f>IF(AND(A27&gt;0,A27&lt;10),11,IF(AND(A27&gt;0,A27&gt;9),A27+2,IF(AND(A27&lt;0,A27&gt;-10),-11,IF(AND(A27&lt;0,A27&lt;-9),A27-2,0))))</f>
        <v>0</v>
      </c>
      <c r="AO27" s="3">
        <f t="shared" ref="AO27:AO31" si="14">IF(AND(B27&gt;0,B27&lt;10),11,IF(AND(B27&gt;0,B27&gt;9),B27+2,IF(AND(B27&lt;0,B27&gt;-10),-11,IF(AND(B27&lt;0,B27&lt;-9),B27-2,0))))</f>
        <v>0</v>
      </c>
      <c r="AP27" s="3">
        <f t="shared" ref="AP27:AP31" si="15">IF(AND(C27&gt;0,C27&lt;10),11,IF(AND(C27&gt;0,C27&gt;9),C27+2,IF(AND(C27&lt;0,C27&gt;-10),-11,IF(AND(C27&lt;0,C27&lt;-9),C27-2,0))))</f>
        <v>0</v>
      </c>
      <c r="AQ27" s="3">
        <f t="shared" ref="AQ27:AQ31" si="16">IF(AND(D27&gt;0,D27&lt;10),11,IF(AND(D27&gt;0,D27&gt;9),D27+2,IF(AND(D27&lt;0,D27&gt;-10),-11,IF(AND(D27&lt;0,D27&lt;-9),D27-2,0))))</f>
        <v>0</v>
      </c>
      <c r="AR27" s="3">
        <f t="shared" ref="AR27:AR31" si="17">IF(AND(E27&gt;0,E27&lt;10),11,IF(AND(E27&gt;0,E27&gt;9),E27+2,IF(AND(E27&lt;0,E27&gt;-10),-11,IF(AND(E27&lt;0,E27&lt;-9),E27-2,0))))</f>
        <v>0</v>
      </c>
      <c r="AS27" s="202">
        <f>-A27</f>
        <v>0</v>
      </c>
      <c r="AT27" s="202">
        <f t="shared" ref="AT27:AT31" si="18">-B27</f>
        <v>0</v>
      </c>
      <c r="AU27" s="202">
        <f t="shared" ref="AU27:AU31" si="19">-C27</f>
        <v>0</v>
      </c>
      <c r="AV27" s="202">
        <f t="shared" ref="AV27:AV31" si="20">-D27</f>
        <v>0</v>
      </c>
      <c r="AW27" s="202">
        <f t="shared" ref="AW27:AW31" si="21">-E27</f>
        <v>0</v>
      </c>
      <c r="AX27" s="202"/>
    </row>
    <row r="28" spans="1:60" x14ac:dyDescent="0.2">
      <c r="A28" s="248"/>
      <c r="B28" s="249"/>
      <c r="C28" s="249"/>
      <c r="D28" s="249"/>
      <c r="E28" s="249"/>
      <c r="F28" s="221" t="str">
        <f>C13</f>
        <v xml:space="preserve"> </v>
      </c>
      <c r="G28" s="221"/>
      <c r="H28" s="221"/>
      <c r="I28" s="221"/>
      <c r="J28" s="221"/>
      <c r="K28" s="240"/>
      <c r="L28" s="237" t="str">
        <f>IF(ISNUMBER(A28),IF(OR(COUNTIF(A28:E28,"&gt;=0")&gt;3,COUNTIF(A28:E28,"&lt;0")&gt;3),"XXX",IF((COUNTIF(A28:E28,"&gt;=0")-COUNTIF(A28:E28,"&lt;0"))&lt;0,0,IF($I$3="SuperDiv",1,3))),IF(OR(RIGHT(F28,4)="W.O.",A28=-88,A28=-99),0,IF(OR(RIGHT(O28,4)="W.O.",A28=99,A28=88),IF($I$3="SuperDiv",1,3),"")))</f>
        <v/>
      </c>
      <c r="M28" s="250" t="s">
        <v>19</v>
      </c>
      <c r="N28" s="237" t="str">
        <f>IF(AND(ISNUMBER(A28),ISNUMBER(L28)),IF($I$3="SuperDiv",1-L28,3-L28),IF(O28="Forfait W.O.",0,IF(F28="Forfait W.O.",IF($I$3="SuperDiv",1,3),"")))</f>
        <v/>
      </c>
      <c r="O28" s="221" t="str">
        <f>Q13</f>
        <v xml:space="preserve"> </v>
      </c>
      <c r="P28" s="220"/>
      <c r="Q28" s="220"/>
      <c r="R28" s="220"/>
      <c r="S28" s="220"/>
      <c r="T28" s="239"/>
      <c r="U28" s="221" t="str">
        <f>IF(OR(COUNTIF(A28:E28,"&gt;=0")&gt;3,COUNTIF(A28:E28,"&lt;0")&gt;3),"Sets mal notés. Refaire la saisie svp",IF(ABS(A28)=99,"Abandon avant le début de la partie",IF(ABS(A28)=88,"Abandon en cours de partie"," ")))</f>
        <v xml:space="preserve"> </v>
      </c>
      <c r="V28" s="220"/>
      <c r="W28" s="221"/>
      <c r="X28" s="221"/>
      <c r="Y28" s="221"/>
      <c r="Z28" s="221"/>
      <c r="AA28" s="224"/>
      <c r="AC28" s="3" t="s">
        <v>854</v>
      </c>
      <c r="AD28" t="s">
        <v>291</v>
      </c>
      <c r="AE28" s="9">
        <v>10</v>
      </c>
      <c r="AF28" t="s">
        <v>1643</v>
      </c>
      <c r="AI28">
        <f t="shared" si="13"/>
        <v>0</v>
      </c>
      <c r="AJ28">
        <f t="shared" si="13"/>
        <v>0</v>
      </c>
      <c r="AK28">
        <f t="shared" si="13"/>
        <v>0</v>
      </c>
      <c r="AL28">
        <f t="shared" si="13"/>
        <v>0</v>
      </c>
      <c r="AM28">
        <f t="shared" si="13"/>
        <v>0</v>
      </c>
      <c r="AN28" s="3">
        <f t="shared" ref="AN28:AN31" si="22">IF(AND(A28&gt;0,A28&lt;10),11,IF(AND(A28&gt;0,A28&gt;9),A28+2,IF(AND(A28&lt;0,A28&gt;-10),-11,IF(AND(A28&lt;0,A28&lt;-9),A28-2,0))))</f>
        <v>0</v>
      </c>
      <c r="AO28" s="3">
        <f t="shared" si="14"/>
        <v>0</v>
      </c>
      <c r="AP28" s="3">
        <f t="shared" si="15"/>
        <v>0</v>
      </c>
      <c r="AQ28" s="3">
        <f t="shared" si="16"/>
        <v>0</v>
      </c>
      <c r="AR28" s="3">
        <f t="shared" si="17"/>
        <v>0</v>
      </c>
      <c r="AS28" s="202">
        <f t="shared" ref="AS28:AS31" si="23">-A28</f>
        <v>0</v>
      </c>
      <c r="AT28" s="202">
        <f t="shared" si="18"/>
        <v>0</v>
      </c>
      <c r="AU28" s="202">
        <f t="shared" si="19"/>
        <v>0</v>
      </c>
      <c r="AV28" s="202">
        <f t="shared" si="20"/>
        <v>0</v>
      </c>
      <c r="AW28" s="202">
        <f t="shared" si="21"/>
        <v>0</v>
      </c>
      <c r="AX28" s="202"/>
      <c r="BC28" t="s">
        <v>384</v>
      </c>
      <c r="BD28">
        <v>1</v>
      </c>
    </row>
    <row r="29" spans="1:60" x14ac:dyDescent="0.2">
      <c r="A29" s="248"/>
      <c r="B29" s="249"/>
      <c r="C29" s="249"/>
      <c r="D29" s="249"/>
      <c r="E29" s="249"/>
      <c r="F29" s="221" t="str">
        <f>IF(OR(F27="Forfait W.O.",F28="Forfait W.O."),B6&amp;" "&amp;F6&amp;" W.O.",B6&amp;" "&amp;F6)</f>
        <v xml:space="preserve"> </v>
      </c>
      <c r="G29" s="221"/>
      <c r="H29" s="221"/>
      <c r="I29" s="221"/>
      <c r="J29" s="221"/>
      <c r="K29" s="240"/>
      <c r="L29" s="237" t="str">
        <f>IF(ISNUMBER(A29),IF(OR(COUNTIF(A29:E29,"&gt;=0")&gt;3,COUNTIF(A29:E29,"&lt;0")&gt;3),"XXX",IF((COUNTIF(A29:E29,"&gt;=0")-COUNTIF(A29:E29,"&lt;0"))&lt;0,0,IF($I$3="SuperDiv",2,5))),IF(OR(RIGHT(F29,4)="W.O.",A29=-88,A29=-99),0,IF(OR(RIGHT(O29,4)="W.O.",A29=99,A29=88),IF($I$3="SuperDiv",2,5),"")))</f>
        <v/>
      </c>
      <c r="M29" s="251" t="s">
        <v>22</v>
      </c>
      <c r="N29" s="237" t="str">
        <f>IF(AND(ISNUMBER(A29),ISNUMBER(L29)),IF(I3="SuperDiv",2-L29,5-L29),IF(RIGHT(O29,4)="W.O.",0,IF(RIGHT(F29,4)="W.O.",IF(I3="SuperDiv",2,5),"")))</f>
        <v/>
      </c>
      <c r="O29" s="221" t="str">
        <f>IF(OR(O27="Forfait W.O.",O28="Forfait W.O."),N6&amp;" "&amp;R6&amp;" W.O.",N6&amp;" "&amp;R6)</f>
        <v xml:space="preserve"> </v>
      </c>
      <c r="P29" s="220"/>
      <c r="Q29" s="220"/>
      <c r="R29" s="220"/>
      <c r="S29" s="220"/>
      <c r="T29" s="239"/>
      <c r="U29" s="221" t="str">
        <f>IF(OR(COUNTIF(A29:E29,"&gt;=0")&gt;3,COUNTIF(A29:E29,"&lt;0")&gt;3),"Sets mal notés. Refaire la saisie svp",IF(ABS(A29)=99,"Abandon avant le début de la partie",IF(ABS(A29)=88,"Abandon en cours de partie"," ")))</f>
        <v xml:space="preserve"> </v>
      </c>
      <c r="V29" s="221"/>
      <c r="W29" s="221"/>
      <c r="X29" s="238"/>
      <c r="Y29" s="221"/>
      <c r="Z29" s="221"/>
      <c r="AA29" s="224"/>
      <c r="AC29" s="3" t="s">
        <v>1068</v>
      </c>
      <c r="AD29" t="s">
        <v>1090</v>
      </c>
      <c r="AE29" s="9">
        <v>11</v>
      </c>
      <c r="AF29" t="s">
        <v>1856</v>
      </c>
      <c r="AI29">
        <f t="shared" si="13"/>
        <v>0</v>
      </c>
      <c r="AJ29">
        <f t="shared" si="13"/>
        <v>0</v>
      </c>
      <c r="AK29">
        <f t="shared" si="13"/>
        <v>0</v>
      </c>
      <c r="AL29">
        <f t="shared" si="13"/>
        <v>0</v>
      </c>
      <c r="AM29">
        <f t="shared" si="13"/>
        <v>0</v>
      </c>
      <c r="AN29" s="3">
        <f t="shared" si="22"/>
        <v>0</v>
      </c>
      <c r="AO29" s="3">
        <f t="shared" si="14"/>
        <v>0</v>
      </c>
      <c r="AP29" s="3">
        <f t="shared" si="15"/>
        <v>0</v>
      </c>
      <c r="AQ29" s="3">
        <f t="shared" si="16"/>
        <v>0</v>
      </c>
      <c r="AR29" s="3">
        <f t="shared" si="17"/>
        <v>0</v>
      </c>
      <c r="AS29" s="202">
        <f t="shared" si="23"/>
        <v>0</v>
      </c>
      <c r="AT29" s="202">
        <f t="shared" si="18"/>
        <v>0</v>
      </c>
      <c r="AU29" s="202">
        <f t="shared" si="19"/>
        <v>0</v>
      </c>
      <c r="AV29" s="202">
        <f t="shared" si="20"/>
        <v>0</v>
      </c>
      <c r="AW29" s="202">
        <f t="shared" si="21"/>
        <v>0</v>
      </c>
      <c r="AX29" s="202"/>
      <c r="BD29">
        <v>2</v>
      </c>
    </row>
    <row r="30" spans="1:60" x14ac:dyDescent="0.2">
      <c r="A30" s="248"/>
      <c r="B30" s="249"/>
      <c r="C30" s="249"/>
      <c r="D30" s="249"/>
      <c r="E30" s="249"/>
      <c r="F30" s="221" t="str">
        <f>C13</f>
        <v xml:space="preserve"> </v>
      </c>
      <c r="G30" s="221"/>
      <c r="H30" s="221"/>
      <c r="I30" s="221"/>
      <c r="J30" s="221"/>
      <c r="K30" s="240"/>
      <c r="L30" s="237" t="str">
        <f>IF(ISNUMBER(A30),IF(OR(COUNTIF(A30:E30,"&gt;=0")&gt;3,COUNTIF(A30:E30,"&lt;0")&gt;3),"XXX",IF((COUNTIF(A30:E30,"&gt;=0")-COUNTIF(A30:E30,"&lt;0"))&lt;0,0,IF($I$3="SuperDiv",1,3))),IF(OR(RIGHT(F30,4)="W.O.",A30=-88,A30=-99),0,IF(OR(RIGHT(O30,4)="W.O.",A30=99,A30=88),IF($I$3="SuperDiv",1,3),"")))</f>
        <v/>
      </c>
      <c r="M30" s="250" t="s">
        <v>18</v>
      </c>
      <c r="N30" s="237" t="str">
        <f>IF(AND(ISNUMBER(A30),ISNUMBER(L30)),IF($I$3="SuperDiv",1-L30,3-L30),IF(O30="Forfait W.O.",0,IF(F30="Forfait W.O.",IF($I$3="SuperDiv",1,3),"")))</f>
        <v/>
      </c>
      <c r="O30" s="221" t="str">
        <f>Q12</f>
        <v xml:space="preserve"> </v>
      </c>
      <c r="P30" s="220"/>
      <c r="Q30" s="220"/>
      <c r="R30" s="220"/>
      <c r="S30" s="220"/>
      <c r="T30" s="239"/>
      <c r="U30" s="221" t="str">
        <f>IF(OR(COUNTIF(A30:E30,"&gt;=0")&gt;3,COUNTIF(A30:E30,"&lt;0")&gt;3),"Sets mal notés. Refaire la saisie svp",IF(ABS(A30)=99,"Abandon avant le début de la partie",IF(ABS(A30)=88,"Abandon en cours de partie"," ")))</f>
        <v xml:space="preserve"> </v>
      </c>
      <c r="V30" s="221"/>
      <c r="W30" s="221"/>
      <c r="X30" s="238"/>
      <c r="Y30" s="221"/>
      <c r="Z30" s="221"/>
      <c r="AA30" s="224"/>
      <c r="AC30" s="3" t="s">
        <v>253</v>
      </c>
      <c r="AD30" t="s">
        <v>281</v>
      </c>
      <c r="AE30" s="9">
        <v>12</v>
      </c>
      <c r="AF30" t="s">
        <v>1856</v>
      </c>
      <c r="AI30">
        <f t="shared" si="13"/>
        <v>0</v>
      </c>
      <c r="AJ30">
        <f t="shared" si="13"/>
        <v>0</v>
      </c>
      <c r="AK30">
        <f t="shared" si="13"/>
        <v>0</v>
      </c>
      <c r="AL30">
        <f t="shared" si="13"/>
        <v>0</v>
      </c>
      <c r="AM30">
        <f t="shared" si="13"/>
        <v>0</v>
      </c>
      <c r="AN30" s="3">
        <f t="shared" si="22"/>
        <v>0</v>
      </c>
      <c r="AO30" s="3">
        <f t="shared" si="14"/>
        <v>0</v>
      </c>
      <c r="AP30" s="3">
        <f t="shared" si="15"/>
        <v>0</v>
      </c>
      <c r="AQ30" s="3">
        <f t="shared" si="16"/>
        <v>0</v>
      </c>
      <c r="AR30" s="3">
        <f t="shared" si="17"/>
        <v>0</v>
      </c>
      <c r="AS30" s="202">
        <f t="shared" si="23"/>
        <v>0</v>
      </c>
      <c r="AT30" s="202">
        <f t="shared" si="18"/>
        <v>0</v>
      </c>
      <c r="AU30" s="202">
        <f t="shared" si="19"/>
        <v>0</v>
      </c>
      <c r="AV30" s="202">
        <f t="shared" si="20"/>
        <v>0</v>
      </c>
      <c r="AW30" s="202">
        <f t="shared" si="21"/>
        <v>0</v>
      </c>
      <c r="AX30" s="202"/>
      <c r="BD30">
        <v>3</v>
      </c>
    </row>
    <row r="31" spans="1:60" ht="17" thickBot="1" x14ac:dyDescent="0.25">
      <c r="A31" s="252"/>
      <c r="B31" s="253"/>
      <c r="C31" s="253"/>
      <c r="D31" s="253"/>
      <c r="E31" s="253"/>
      <c r="F31" s="228" t="str">
        <f>C12</f>
        <v xml:space="preserve"> </v>
      </c>
      <c r="G31" s="228"/>
      <c r="H31" s="228"/>
      <c r="I31" s="228"/>
      <c r="J31" s="228"/>
      <c r="K31" s="372"/>
      <c r="L31" s="242" t="str">
        <f>IF(ISNUMBER(A31),IF(OR(COUNTIF(A31:E31,"&gt;=0")&gt;3,COUNTIF(A31:E31,"&lt;0")&gt;3),"XXX",IF((COUNTIF(A31:E31,"&gt;=0")-COUNTIF(A31:E31,"&lt;0"))&lt;0,0,IF($I$3="SuperDiv",1,3))),IF(OR(RIGHT(F31,4)="W.O.",A31=-88,A31=-99),0,IF(OR(RIGHT(O31,4)="W.O.",A31=99,A31=88),IF($I$3="SuperDiv",1,3),"")))</f>
        <v/>
      </c>
      <c r="M31" s="254" t="s">
        <v>20</v>
      </c>
      <c r="N31" s="242" t="str">
        <f>IF(AND(ISNUMBER(A31),ISNUMBER(L31)),IF($I$3="SuperDiv",1-L31,3-L31),IF(O31="Forfait W.O.",0,IF(F31="Forfait W.O.",IF($I$3="SuperDiv",1,3),"")))</f>
        <v/>
      </c>
      <c r="O31" s="228" t="str">
        <f>Q13</f>
        <v xml:space="preserve"> </v>
      </c>
      <c r="P31" s="227"/>
      <c r="Q31" s="227"/>
      <c r="R31" s="227"/>
      <c r="S31" s="227"/>
      <c r="T31" s="244"/>
      <c r="U31" s="228" t="str">
        <f>IF(OR(COUNTIF(A31:E31,"&gt;=0")&gt;3,COUNTIF(A31:E31,"&lt;0")&gt;3),"Sets mal notés. Refaire la saisie svp",IF(ABS(A31)=99,"Abandon avant le début de la partie",IF(ABS(A31)=88,"Abandon en cours de partie"," ")))</f>
        <v xml:space="preserve"> </v>
      </c>
      <c r="V31" s="228"/>
      <c r="W31" s="228"/>
      <c r="X31" s="243"/>
      <c r="Y31" s="228"/>
      <c r="Z31" s="228"/>
      <c r="AA31" s="231"/>
      <c r="AC31" s="3" t="s">
        <v>83</v>
      </c>
      <c r="AD31" t="s">
        <v>293</v>
      </c>
      <c r="AE31" s="9">
        <v>13</v>
      </c>
      <c r="AF31" t="s">
        <v>1643</v>
      </c>
      <c r="AI31">
        <f t="shared" si="13"/>
        <v>0</v>
      </c>
      <c r="AJ31">
        <f t="shared" si="13"/>
        <v>0</v>
      </c>
      <c r="AK31">
        <f t="shared" si="13"/>
        <v>0</v>
      </c>
      <c r="AL31">
        <f t="shared" si="13"/>
        <v>0</v>
      </c>
      <c r="AM31">
        <f t="shared" si="13"/>
        <v>0</v>
      </c>
      <c r="AN31" s="3">
        <f t="shared" si="22"/>
        <v>0</v>
      </c>
      <c r="AO31" s="3">
        <f t="shared" si="14"/>
        <v>0</v>
      </c>
      <c r="AP31" s="3">
        <f t="shared" si="15"/>
        <v>0</v>
      </c>
      <c r="AQ31" s="3">
        <f t="shared" si="16"/>
        <v>0</v>
      </c>
      <c r="AR31" s="3">
        <f t="shared" si="17"/>
        <v>0</v>
      </c>
      <c r="AS31" s="202">
        <f t="shared" si="23"/>
        <v>0</v>
      </c>
      <c r="AT31" s="202">
        <f t="shared" si="18"/>
        <v>0</v>
      </c>
      <c r="AU31" s="202">
        <f t="shared" si="19"/>
        <v>0</v>
      </c>
      <c r="AV31" s="202">
        <f t="shared" si="20"/>
        <v>0</v>
      </c>
      <c r="AW31" s="202">
        <f t="shared" si="21"/>
        <v>0</v>
      </c>
      <c r="AX31" s="202"/>
      <c r="BD31">
        <v>4</v>
      </c>
    </row>
    <row r="32" spans="1:60" ht="17" thickTop="1" x14ac:dyDescent="0.2">
      <c r="A32" s="27"/>
      <c r="B32" s="27"/>
      <c r="C32" s="27"/>
      <c r="P32" s="27"/>
      <c r="Q32" s="27"/>
      <c r="R32" s="27"/>
      <c r="S32" s="27"/>
      <c r="T32" s="27"/>
      <c r="U32" s="27"/>
      <c r="X32" s="87"/>
      <c r="AC32" s="3" t="s">
        <v>792</v>
      </c>
      <c r="AD32" t="s">
        <v>1781</v>
      </c>
      <c r="AE32" s="9">
        <v>14</v>
      </c>
      <c r="AF32" t="s">
        <v>1643</v>
      </c>
      <c r="BD32">
        <v>5</v>
      </c>
    </row>
    <row r="33" spans="1:56" ht="19" x14ac:dyDescent="0.25">
      <c r="A33" s="27"/>
      <c r="B33" s="27"/>
      <c r="C33" s="27"/>
      <c r="I33" s="113" t="s">
        <v>391</v>
      </c>
      <c r="J33" s="103"/>
      <c r="K33" s="103"/>
      <c r="L33" s="104">
        <f>SUM(L27:L31)</f>
        <v>0</v>
      </c>
      <c r="M33" s="105"/>
      <c r="N33" s="106">
        <f>SUM(N27:N31)</f>
        <v>0</v>
      </c>
      <c r="P33" s="27"/>
      <c r="Q33" s="27"/>
      <c r="R33" s="27"/>
      <c r="S33" s="27"/>
      <c r="T33" s="27"/>
      <c r="U33" s="27"/>
      <c r="X33" s="87"/>
      <c r="AB33" s="27"/>
      <c r="AC33" s="3" t="s">
        <v>1598</v>
      </c>
      <c r="AD33" t="s">
        <v>292</v>
      </c>
      <c r="AE33" s="9">
        <v>16</v>
      </c>
      <c r="AF33" t="s">
        <v>1643</v>
      </c>
      <c r="AJ33" t="str">
        <f>B6&amp;" "&amp;F6</f>
        <v xml:space="preserve"> </v>
      </c>
      <c r="AK33">
        <f>COUNTIF(AI17:AM21,1)+COUNTIF(AI27:AM31,1)</f>
        <v>0</v>
      </c>
      <c r="AL33">
        <f>SUMIF(AN17:AW21,"&gt;0",AN17:AW21)+SUMIF(AN27:AW31,"&gt;0",AN27:AW31)</f>
        <v>0</v>
      </c>
      <c r="AU33" s="3"/>
      <c r="AV33" s="3"/>
      <c r="AW33" s="3"/>
      <c r="AX33" s="3"/>
      <c r="BD33">
        <v>6</v>
      </c>
    </row>
    <row r="34" spans="1:56" x14ac:dyDescent="0.2">
      <c r="A34" s="27"/>
      <c r="B34" s="27"/>
      <c r="C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AA34" s="42"/>
      <c r="AC34" s="3"/>
      <c r="AD34" t="s">
        <v>1785</v>
      </c>
      <c r="AE34" s="9">
        <v>15</v>
      </c>
      <c r="AF34" t="s">
        <v>1643</v>
      </c>
      <c r="AJ34" t="str">
        <f>N6&amp;" "&amp;R6</f>
        <v xml:space="preserve"> </v>
      </c>
      <c r="AK34">
        <f>COUNTIF(AI17:AM21,-1)+COUNTIF(AI27:AM31,-1)</f>
        <v>0</v>
      </c>
      <c r="AL34">
        <f>-SUMIF(AN17:AW21,"&lt;0",AN17:AW21)-SUMIF(AN27:AW31,"&lt;0",AN27:AW31)</f>
        <v>0</v>
      </c>
      <c r="AU34" s="3"/>
      <c r="AV34" s="3"/>
      <c r="AW34" s="3"/>
      <c r="AX34" s="3"/>
    </row>
    <row r="35" spans="1:56" ht="17" thickBot="1" x14ac:dyDescent="0.25">
      <c r="A35" s="27"/>
      <c r="B35" s="27"/>
      <c r="C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3" t="s">
        <v>1790</v>
      </c>
      <c r="AD35" t="s">
        <v>1791</v>
      </c>
      <c r="AE35" s="9">
        <v>17</v>
      </c>
      <c r="AF35" t="s">
        <v>1643</v>
      </c>
      <c r="AU35" s="3"/>
      <c r="AV35" s="3"/>
      <c r="AW35" s="3"/>
      <c r="AX35" s="3"/>
      <c r="BC35" t="s">
        <v>28</v>
      </c>
      <c r="BD35" t="s">
        <v>385</v>
      </c>
    </row>
    <row r="36" spans="1:56" ht="20" thickTop="1" x14ac:dyDescent="0.25">
      <c r="A36" s="494" t="s">
        <v>397</v>
      </c>
      <c r="B36" s="495"/>
      <c r="C36" s="495"/>
      <c r="D36" s="495"/>
      <c r="E36" s="495"/>
      <c r="F36" s="495"/>
      <c r="G36" s="495"/>
      <c r="H36" s="495"/>
      <c r="I36" s="495"/>
      <c r="J36" s="495"/>
      <c r="K36" s="495"/>
      <c r="L36" s="495"/>
      <c r="M36" s="495"/>
      <c r="N36" s="495"/>
      <c r="O36" s="495"/>
      <c r="P36" s="495"/>
      <c r="Q36" s="495"/>
      <c r="R36" s="495"/>
      <c r="S36" s="495"/>
      <c r="T36" s="495"/>
      <c r="U36" s="495"/>
      <c r="V36" s="495"/>
      <c r="W36" s="495"/>
      <c r="X36" s="495"/>
      <c r="Y36" s="495"/>
      <c r="Z36" s="495"/>
      <c r="AA36" s="496"/>
      <c r="AC36" s="3" t="s">
        <v>1783</v>
      </c>
      <c r="AD36" t="s">
        <v>1784</v>
      </c>
      <c r="AE36" s="9">
        <v>18</v>
      </c>
      <c r="AF36" t="s">
        <v>1643</v>
      </c>
      <c r="AU36" s="3"/>
      <c r="AV36" s="3"/>
      <c r="AW36" s="3"/>
      <c r="AX36" s="3"/>
      <c r="BD36" t="s">
        <v>386</v>
      </c>
    </row>
    <row r="37" spans="1:56" ht="19" x14ac:dyDescent="0.25">
      <c r="A37" s="112" t="str">
        <f>IF((L33+L23 )&gt;(N33+N23),B6&amp;" "&amp;F6,IF((L33+L23)=(N33+N23),B6&amp;" "&amp;F6,N6&amp;" "&amp;R6))</f>
        <v xml:space="preserve"> </v>
      </c>
      <c r="B37" s="27"/>
      <c r="C37" s="27"/>
      <c r="D37" s="27"/>
      <c r="E37" s="76" t="str">
        <f>IF(A38=H38,"à égalité avec ","BAT")</f>
        <v xml:space="preserve">à égalité avec </v>
      </c>
      <c r="F37" s="27"/>
      <c r="G37" s="27"/>
      <c r="H37" s="370" t="str">
        <f>IF((L33+L23 )&lt;(N33+N23),B6&amp;" "&amp;F6,IF((L33+L23)=(N33+N23),N6&amp;" "&amp;R6,N6&amp;" "&amp;R6))</f>
        <v xml:space="preserve"> </v>
      </c>
      <c r="I37" s="27"/>
      <c r="J37" s="81" t="str">
        <f>"Cap. "&amp;O16</f>
        <v xml:space="preserve">Cap.  </v>
      </c>
      <c r="L37" s="27"/>
      <c r="M37" s="27"/>
      <c r="N37" s="497"/>
      <c r="O37" s="498"/>
      <c r="P37" s="498"/>
      <c r="Q37" s="498"/>
      <c r="R37" s="499"/>
      <c r="S37" s="83" t="s">
        <v>127</v>
      </c>
      <c r="T37" s="89"/>
      <c r="Z37" s="27"/>
      <c r="AA37" s="107"/>
      <c r="AC37" s="3" t="s">
        <v>852</v>
      </c>
      <c r="AD37" t="s">
        <v>288</v>
      </c>
      <c r="AE37" s="9">
        <v>19</v>
      </c>
      <c r="AF37" t="s">
        <v>1856</v>
      </c>
      <c r="BD37" t="s">
        <v>421</v>
      </c>
    </row>
    <row r="38" spans="1:56" ht="19" x14ac:dyDescent="0.25">
      <c r="A38" s="80" t="str">
        <f>IF((L33+L23)&gt;(N33+N23),(L33+L23)&amp;" points",(N33+N23)&amp;" points")</f>
        <v>0 points</v>
      </c>
      <c r="B38" s="27"/>
      <c r="C38" s="27"/>
      <c r="D38" s="27"/>
      <c r="E38" s="27"/>
      <c r="H38" s="198" t="str">
        <f>IF((L33+L23 )&gt;(N33+N23),(N33+N23)&amp;" points",(L33+L23)&amp;" points")</f>
        <v>0 points</v>
      </c>
      <c r="J38" s="201" t="str">
        <f>"Cap. "&amp;F16</f>
        <v xml:space="preserve">Cap.  </v>
      </c>
      <c r="N38" s="449"/>
      <c r="O38" s="436"/>
      <c r="P38" s="436"/>
      <c r="Q38" s="436"/>
      <c r="R38" s="500"/>
      <c r="S38" s="450"/>
      <c r="T38" s="436"/>
      <c r="U38" s="436"/>
      <c r="V38" s="436"/>
      <c r="W38" s="436"/>
      <c r="Z38" s="27"/>
      <c r="AA38" s="107"/>
      <c r="AC38" s="3" t="s">
        <v>853</v>
      </c>
      <c r="AD38" t="s">
        <v>282</v>
      </c>
      <c r="AE38" s="9">
        <v>20</v>
      </c>
      <c r="AF38" t="s">
        <v>1856</v>
      </c>
      <c r="AU38" s="3"/>
      <c r="AV38" s="3"/>
      <c r="AW38" s="3"/>
      <c r="AX38" s="3"/>
    </row>
    <row r="39" spans="1:56" ht="19" x14ac:dyDescent="0.25">
      <c r="A39" s="461" t="str">
        <f>VLOOKUP(A37,$AJ$33:$AL$34,2,0)&amp;" Sets à "&amp;VLOOKUP(H37,$AJ$33:$AL$34,2,0)</f>
        <v>0 Sets à 0</v>
      </c>
      <c r="B39" s="462"/>
      <c r="C39" s="462"/>
      <c r="D39" s="462"/>
      <c r="E39" s="462"/>
      <c r="F39" s="462"/>
      <c r="G39" s="462"/>
      <c r="H39" s="462"/>
      <c r="I39" s="462"/>
      <c r="J39" s="203"/>
      <c r="K39" s="27"/>
      <c r="L39" s="27"/>
      <c r="M39" s="27"/>
      <c r="N39" s="27"/>
      <c r="O39" s="27"/>
      <c r="P39" s="27"/>
      <c r="Q39" s="27"/>
      <c r="R39" s="27"/>
      <c r="S39" s="203"/>
      <c r="T39" s="27"/>
      <c r="U39" s="27"/>
      <c r="V39" s="27"/>
      <c r="W39" s="27"/>
      <c r="X39" s="27"/>
      <c r="Y39" s="27"/>
      <c r="Z39" s="27"/>
      <c r="AA39" s="107"/>
      <c r="AC39" s="3" t="s">
        <v>652</v>
      </c>
      <c r="AD39" t="s">
        <v>657</v>
      </c>
      <c r="AE39" s="9">
        <v>21</v>
      </c>
      <c r="AF39" t="s">
        <v>1643</v>
      </c>
      <c r="AU39" s="3"/>
      <c r="AV39" s="3"/>
      <c r="AW39" s="3"/>
      <c r="AX39" s="3"/>
    </row>
    <row r="40" spans="1:56" ht="20" thickBot="1" x14ac:dyDescent="0.3">
      <c r="A40" s="463" t="str">
        <f>VLOOKUP(A37,$AJ$33:$AL$34,3,0)&amp;" points à "&amp;VLOOKUP(H37,$AJ$33:$AL$34,3,0)</f>
        <v>0 points à 0</v>
      </c>
      <c r="B40" s="464"/>
      <c r="C40" s="464"/>
      <c r="D40" s="464"/>
      <c r="E40" s="464"/>
      <c r="F40" s="464"/>
      <c r="G40" s="464"/>
      <c r="H40" s="464"/>
      <c r="I40" s="464"/>
      <c r="J40" s="204"/>
      <c r="K40" s="44"/>
      <c r="L40" s="44"/>
      <c r="M40" s="44"/>
      <c r="N40" s="44"/>
      <c r="O40" s="44"/>
      <c r="P40" s="44"/>
      <c r="Q40" s="44"/>
      <c r="R40" s="44"/>
      <c r="S40" s="204"/>
      <c r="T40" s="44"/>
      <c r="U40" s="44"/>
      <c r="V40" s="44"/>
      <c r="W40" s="44"/>
      <c r="X40" s="44"/>
      <c r="Y40" s="44"/>
      <c r="Z40" s="44"/>
      <c r="AA40" s="108"/>
      <c r="AC40" s="3" t="s">
        <v>1516</v>
      </c>
      <c r="AD40" t="s">
        <v>1088</v>
      </c>
      <c r="AE40" s="9">
        <v>22</v>
      </c>
      <c r="AF40" t="s">
        <v>1643</v>
      </c>
      <c r="AU40" s="3"/>
      <c r="AV40" s="3"/>
      <c r="AW40" s="3"/>
      <c r="AX40" s="3"/>
    </row>
    <row r="41" spans="1:56" ht="17" thickTop="1" x14ac:dyDescent="0.2">
      <c r="A41" s="27"/>
      <c r="B41" s="27"/>
      <c r="C41" s="27"/>
      <c r="D41" s="27"/>
      <c r="E41" s="27"/>
      <c r="P41" s="27"/>
      <c r="Q41" s="27"/>
      <c r="R41" s="27"/>
      <c r="S41" s="27"/>
      <c r="T41" s="27"/>
      <c r="AC41" s="3" t="s">
        <v>256</v>
      </c>
      <c r="AD41" t="s">
        <v>285</v>
      </c>
      <c r="AE41" s="9">
        <v>23</v>
      </c>
      <c r="AF41" t="s">
        <v>1643</v>
      </c>
      <c r="AU41" s="3"/>
      <c r="AV41" s="3"/>
      <c r="AW41" s="3"/>
      <c r="AX41" s="3"/>
      <c r="AY41" s="3" t="s">
        <v>154</v>
      </c>
      <c r="AZ41" s="3" t="str">
        <f>C10</f>
        <v xml:space="preserve"> </v>
      </c>
      <c r="BA41" s="3"/>
      <c r="BB41" s="3"/>
      <c r="BC41" s="3"/>
    </row>
    <row r="42" spans="1:56" x14ac:dyDescent="0.2">
      <c r="A42" s="45" t="s">
        <v>2056</v>
      </c>
      <c r="B42" s="45"/>
      <c r="C42" s="45"/>
      <c r="D42" s="45"/>
      <c r="E42" s="45"/>
      <c r="F42" s="45"/>
      <c r="G42" s="45"/>
      <c r="T42" s="426" t="s">
        <v>2055</v>
      </c>
      <c r="AC42" s="3" t="s">
        <v>254</v>
      </c>
      <c r="AD42" t="s">
        <v>344</v>
      </c>
      <c r="AE42" s="9">
        <v>24</v>
      </c>
      <c r="AF42" t="s">
        <v>1643</v>
      </c>
      <c r="AU42" s="3"/>
      <c r="AV42" s="3"/>
      <c r="AW42" s="3"/>
      <c r="AX42" s="3"/>
      <c r="AY42" s="3" t="s">
        <v>154</v>
      </c>
      <c r="AZ42" s="3" t="str">
        <f>C11</f>
        <v xml:space="preserve"> </v>
      </c>
      <c r="BA42" s="3"/>
      <c r="BB42" s="3"/>
      <c r="BC42" s="3"/>
    </row>
    <row r="43" spans="1:56" ht="21" customHeight="1" x14ac:dyDescent="0.25">
      <c r="A43" s="45" t="s">
        <v>244</v>
      </c>
      <c r="F43" s="174" t="str">
        <f>IFERROR(VLOOKUP(N6,'LISTING CLUB'!A:C,3,0),"")</f>
        <v/>
      </c>
      <c r="K43" s="9" t="s">
        <v>401</v>
      </c>
      <c r="M43" s="27"/>
      <c r="N43" s="27"/>
      <c r="O43" s="177" t="str">
        <f>"4J"&amp;R3&amp;"-"&amp;I3&amp;"-"&amp;N3&amp;"-"&amp;F16&amp;"-"&amp;O16</f>
        <v xml:space="preserve">4J--- - </v>
      </c>
      <c r="AC43" s="3" t="s">
        <v>1782</v>
      </c>
      <c r="AD43" t="s">
        <v>1097</v>
      </c>
      <c r="AE43" s="9">
        <v>25</v>
      </c>
      <c r="AF43" t="s">
        <v>1643</v>
      </c>
      <c r="AU43" s="3"/>
      <c r="AV43" s="3"/>
      <c r="AW43" s="3"/>
      <c r="AX43" s="3"/>
      <c r="AY43" s="3" t="s">
        <v>154</v>
      </c>
      <c r="AZ43" s="3" t="str">
        <f>C12</f>
        <v xml:space="preserve"> </v>
      </c>
      <c r="BA43" s="3"/>
      <c r="BB43" s="3"/>
      <c r="BC43" s="3"/>
    </row>
    <row r="44" spans="1:56" ht="21" x14ac:dyDescent="0.25">
      <c r="A44" s="452" t="s">
        <v>378</v>
      </c>
      <c r="B44" s="453"/>
      <c r="C44" s="453"/>
      <c r="D44" s="453"/>
      <c r="E44" s="453"/>
      <c r="F44" s="453"/>
      <c r="G44" s="453"/>
      <c r="H44" s="453"/>
      <c r="I44" s="453"/>
      <c r="J44" s="453"/>
      <c r="K44" s="453"/>
      <c r="L44" s="453"/>
      <c r="M44" s="453"/>
      <c r="N44" s="453"/>
      <c r="O44" s="453"/>
      <c r="P44" s="453"/>
      <c r="Q44" s="453"/>
      <c r="R44" s="453"/>
      <c r="S44" s="453"/>
      <c r="T44" s="453"/>
      <c r="U44" s="453"/>
      <c r="V44" s="453"/>
      <c r="W44" s="453"/>
      <c r="X44" s="453"/>
      <c r="Y44" s="453"/>
      <c r="Z44" s="453"/>
      <c r="AA44" s="454"/>
      <c r="AC44" s="3" t="s">
        <v>1787</v>
      </c>
      <c r="AD44" t="s">
        <v>567</v>
      </c>
      <c r="AE44" s="9">
        <v>26</v>
      </c>
      <c r="AF44" t="s">
        <v>1643</v>
      </c>
      <c r="AY44" s="3" t="s">
        <v>154</v>
      </c>
      <c r="AZ44" s="3" t="str">
        <f>C13</f>
        <v xml:space="preserve"> </v>
      </c>
      <c r="BA44" s="3"/>
      <c r="BB44" s="3"/>
      <c r="BC44" s="3"/>
    </row>
    <row r="45" spans="1:56" x14ac:dyDescent="0.2">
      <c r="C45" s="27"/>
      <c r="D45" s="27"/>
      <c r="E45" s="27"/>
      <c r="M45" s="27"/>
      <c r="AC45" s="3" t="s">
        <v>1786</v>
      </c>
      <c r="AD45" t="s">
        <v>285</v>
      </c>
      <c r="AE45" s="9">
        <v>27</v>
      </c>
      <c r="AF45" t="s">
        <v>1643</v>
      </c>
      <c r="AY45" s="3" t="s">
        <v>155</v>
      </c>
      <c r="AZ45" s="3" t="str">
        <f>+Q10</f>
        <v xml:space="preserve"> </v>
      </c>
    </row>
    <row r="46" spans="1:56" x14ac:dyDescent="0.2">
      <c r="B46" s="117"/>
      <c r="C46" s="118"/>
      <c r="D46" s="118"/>
      <c r="E46" s="117"/>
      <c r="F46" s="117"/>
      <c r="G46" s="117"/>
      <c r="H46" s="117"/>
      <c r="I46" s="117"/>
      <c r="J46" s="117"/>
      <c r="K46" s="117"/>
      <c r="L46" s="117"/>
      <c r="M46" s="117"/>
      <c r="N46" s="117"/>
      <c r="O46" s="117"/>
      <c r="P46" s="117"/>
      <c r="Q46" s="117"/>
      <c r="R46" s="117"/>
      <c r="S46" s="117"/>
      <c r="T46" s="117"/>
      <c r="U46" s="117"/>
      <c r="V46" s="117"/>
      <c r="W46" s="117"/>
      <c r="X46" s="117"/>
      <c r="Y46" s="117"/>
      <c r="Z46" s="117"/>
      <c r="AC46" s="3" t="s">
        <v>648</v>
      </c>
      <c r="AD46" t="s">
        <v>422</v>
      </c>
      <c r="AE46" s="9">
        <v>28</v>
      </c>
      <c r="AF46" t="s">
        <v>1856</v>
      </c>
      <c r="AY46" s="3" t="s">
        <v>155</v>
      </c>
      <c r="AZ46" s="3" t="str">
        <f>+Q11</f>
        <v xml:space="preserve"> </v>
      </c>
      <c r="BA46" s="3"/>
      <c r="BB46" s="3"/>
      <c r="BC46" s="3"/>
    </row>
    <row r="47" spans="1:56" x14ac:dyDescent="0.2">
      <c r="B47" s="117"/>
      <c r="C47" s="118"/>
      <c r="D47" s="118"/>
      <c r="E47" s="117"/>
      <c r="F47" s="117"/>
      <c r="G47" s="117"/>
      <c r="H47" s="117"/>
      <c r="I47" s="117"/>
      <c r="J47" s="117"/>
      <c r="K47" s="117"/>
      <c r="L47" s="117"/>
      <c r="M47" s="117"/>
      <c r="N47" s="117"/>
      <c r="O47" s="117"/>
      <c r="P47" s="117"/>
      <c r="Q47" s="117"/>
      <c r="R47" s="117"/>
      <c r="S47" s="117"/>
      <c r="T47" s="117"/>
      <c r="U47" s="117"/>
      <c r="V47" s="117"/>
      <c r="W47" s="117"/>
      <c r="X47" s="117"/>
      <c r="Y47" s="117"/>
      <c r="Z47" s="117"/>
      <c r="AC47" s="3" t="s">
        <v>1066</v>
      </c>
      <c r="AD47" t="s">
        <v>1088</v>
      </c>
      <c r="AE47" s="9">
        <v>29</v>
      </c>
      <c r="AF47" t="s">
        <v>1643</v>
      </c>
      <c r="AY47" s="3" t="s">
        <v>155</v>
      </c>
      <c r="AZ47" s="3" t="str">
        <f>+Q12</f>
        <v xml:space="preserve"> </v>
      </c>
      <c r="BA47" s="3"/>
      <c r="BB47" s="3"/>
      <c r="BC47" s="3"/>
    </row>
    <row r="48" spans="1:56" x14ac:dyDescent="0.2">
      <c r="B48" s="117"/>
      <c r="C48" s="118"/>
      <c r="D48" s="118"/>
      <c r="E48" s="117"/>
      <c r="F48" s="117"/>
      <c r="G48" s="117"/>
      <c r="H48" s="117"/>
      <c r="I48" s="117"/>
      <c r="J48" s="117"/>
      <c r="K48" s="117"/>
      <c r="L48" s="117"/>
      <c r="M48" s="117"/>
      <c r="N48" s="117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C48" s="3" t="s">
        <v>1854</v>
      </c>
      <c r="AD48" t="s">
        <v>333</v>
      </c>
      <c r="AE48" s="9">
        <v>30</v>
      </c>
      <c r="AF48" t="s">
        <v>1643</v>
      </c>
      <c r="AY48" s="3" t="s">
        <v>155</v>
      </c>
      <c r="AZ48" s="3" t="str">
        <f>+Q13</f>
        <v xml:space="preserve"> </v>
      </c>
      <c r="BA48" s="3"/>
      <c r="BB48" s="3"/>
      <c r="BC48" s="3"/>
    </row>
    <row r="49" spans="1:55" x14ac:dyDescent="0.2">
      <c r="B49" s="117"/>
      <c r="C49" s="118"/>
      <c r="D49" s="118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C49" s="3" t="s">
        <v>1788</v>
      </c>
      <c r="AD49" t="s">
        <v>1789</v>
      </c>
      <c r="AE49" s="9">
        <v>31</v>
      </c>
      <c r="AF49" t="s">
        <v>1643</v>
      </c>
      <c r="BA49" s="3"/>
      <c r="BB49" s="3"/>
      <c r="BC49" s="3"/>
    </row>
    <row r="50" spans="1:55" x14ac:dyDescent="0.2">
      <c r="B50" s="117"/>
      <c r="C50" s="119"/>
      <c r="D50" s="119"/>
      <c r="E50" s="117"/>
      <c r="F50" s="117"/>
      <c r="G50" s="117"/>
      <c r="H50" s="117"/>
      <c r="I50" s="117"/>
      <c r="J50" s="117"/>
      <c r="K50" s="117"/>
      <c r="L50" s="117"/>
      <c r="M50" s="117"/>
      <c r="N50" s="117"/>
      <c r="O50" s="117"/>
      <c r="P50" s="120"/>
      <c r="Q50" s="120"/>
      <c r="R50" s="117"/>
      <c r="S50" s="117"/>
      <c r="T50" s="117"/>
      <c r="U50" s="117"/>
      <c r="V50" s="117"/>
      <c r="W50" s="117"/>
      <c r="X50" s="117"/>
      <c r="Y50" s="117"/>
      <c r="Z50" s="117"/>
      <c r="AE50"/>
      <c r="AY50" s="3"/>
    </row>
    <row r="51" spans="1:55" x14ac:dyDescent="0.2">
      <c r="B51" s="117"/>
      <c r="C51" s="121"/>
      <c r="D51" s="117"/>
      <c r="E51" s="117"/>
      <c r="F51" s="117"/>
      <c r="G51" s="117"/>
      <c r="H51" s="117"/>
      <c r="I51" s="117"/>
      <c r="J51" s="117"/>
      <c r="K51" s="117"/>
      <c r="L51" s="117"/>
      <c r="M51" s="117"/>
      <c r="N51" s="117"/>
      <c r="O51" s="117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E51"/>
      <c r="AN51"/>
      <c r="AO51"/>
      <c r="AP51"/>
      <c r="AQ51"/>
      <c r="AR51"/>
      <c r="AS51"/>
    </row>
    <row r="52" spans="1:55" x14ac:dyDescent="0.2">
      <c r="B52" s="117"/>
      <c r="C52" s="117"/>
      <c r="D52" s="117"/>
      <c r="E52" s="117"/>
      <c r="F52" s="117"/>
      <c r="G52" s="117"/>
      <c r="H52" s="117"/>
      <c r="I52" s="117"/>
      <c r="J52" s="117"/>
      <c r="K52" s="117"/>
      <c r="L52" s="117"/>
      <c r="M52" s="117"/>
      <c r="N52" s="117"/>
      <c r="O52" s="117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E52"/>
      <c r="AN52"/>
      <c r="AO52"/>
      <c r="AP52"/>
      <c r="AQ52"/>
      <c r="AR52"/>
      <c r="AS52"/>
    </row>
    <row r="53" spans="1:55" x14ac:dyDescent="0.2">
      <c r="B53" s="117"/>
      <c r="C53" s="117"/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22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E53"/>
      <c r="AN53"/>
      <c r="AO53"/>
      <c r="AP53"/>
      <c r="AQ53"/>
      <c r="AR53"/>
      <c r="AS53"/>
    </row>
    <row r="54" spans="1:55" x14ac:dyDescent="0.2">
      <c r="B54" s="117"/>
      <c r="C54" s="117"/>
      <c r="D54" s="117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E54"/>
      <c r="AN54"/>
      <c r="AO54"/>
      <c r="AP54"/>
      <c r="AQ54"/>
      <c r="AR54"/>
      <c r="AS54"/>
    </row>
    <row r="55" spans="1:55" ht="24" x14ac:dyDescent="0.3">
      <c r="G55" s="78"/>
      <c r="H55" s="78"/>
      <c r="I55" s="78"/>
      <c r="J55" s="78"/>
      <c r="K55" s="78"/>
      <c r="L55" s="78"/>
      <c r="M55" s="78"/>
      <c r="N55" s="78"/>
      <c r="AE55"/>
      <c r="AN55"/>
      <c r="AO55"/>
      <c r="AP55"/>
      <c r="AQ55"/>
      <c r="AR55"/>
      <c r="AS55"/>
    </row>
    <row r="56" spans="1:55" ht="24" x14ac:dyDescent="0.3">
      <c r="A56" s="452" t="s">
        <v>379</v>
      </c>
      <c r="B56" s="453"/>
      <c r="C56" s="453"/>
      <c r="D56" s="453"/>
      <c r="E56" s="453"/>
      <c r="F56" s="453"/>
      <c r="G56" s="453"/>
      <c r="H56" s="453"/>
      <c r="I56" s="453"/>
      <c r="J56" s="453"/>
      <c r="K56" s="453"/>
      <c r="L56" s="453"/>
      <c r="M56" s="453"/>
      <c r="N56" s="453"/>
      <c r="O56" s="453"/>
      <c r="P56" s="453"/>
      <c r="Q56" s="453"/>
      <c r="R56" s="453"/>
      <c r="S56" s="453"/>
      <c r="T56" s="453"/>
      <c r="U56" s="453"/>
      <c r="V56" s="453"/>
      <c r="W56" s="453"/>
      <c r="X56" s="453"/>
      <c r="Y56" s="453"/>
      <c r="Z56" s="453"/>
      <c r="AA56" s="454"/>
      <c r="AE56"/>
      <c r="AN56"/>
      <c r="AO56"/>
      <c r="AP56"/>
      <c r="AQ56"/>
      <c r="AR56"/>
      <c r="AS56"/>
    </row>
    <row r="57" spans="1:55" x14ac:dyDescent="0.2">
      <c r="AE57"/>
    </row>
    <row r="58" spans="1:55" x14ac:dyDescent="0.2">
      <c r="B58" s="117"/>
      <c r="C58" s="118"/>
      <c r="D58" s="118"/>
      <c r="E58" s="117"/>
      <c r="F58" s="117"/>
      <c r="G58" s="117"/>
      <c r="H58" s="117"/>
      <c r="I58" s="117"/>
      <c r="J58" s="117"/>
      <c r="K58" s="117"/>
      <c r="L58" s="117"/>
      <c r="M58" s="117"/>
      <c r="N58" s="117"/>
      <c r="O58" s="117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E58"/>
    </row>
    <row r="59" spans="1:55" x14ac:dyDescent="0.2">
      <c r="B59" s="117"/>
      <c r="C59" s="118"/>
      <c r="D59" s="118"/>
      <c r="E59" s="117"/>
      <c r="F59" s="117"/>
      <c r="G59" s="117"/>
      <c r="H59" s="117"/>
      <c r="I59" s="117"/>
      <c r="J59" s="117"/>
      <c r="K59" s="117"/>
      <c r="L59" s="117"/>
      <c r="M59" s="117"/>
      <c r="N59" s="117"/>
      <c r="O59" s="117"/>
      <c r="P59" s="117"/>
      <c r="Q59" s="117"/>
      <c r="R59" s="117"/>
      <c r="S59" s="117"/>
      <c r="T59" s="117"/>
      <c r="U59" s="117"/>
      <c r="V59" s="117"/>
      <c r="W59" s="117"/>
      <c r="X59" s="117"/>
      <c r="Y59" s="117"/>
      <c r="Z59" s="117"/>
      <c r="AE59"/>
    </row>
    <row r="60" spans="1:55" x14ac:dyDescent="0.2">
      <c r="B60" s="117"/>
      <c r="C60" s="118"/>
      <c r="D60" s="118"/>
      <c r="E60" s="117"/>
      <c r="F60" s="117"/>
      <c r="G60" s="117"/>
      <c r="H60" s="117"/>
      <c r="I60" s="117"/>
      <c r="J60" s="117"/>
      <c r="K60" s="117"/>
      <c r="L60" s="117"/>
      <c r="M60" s="117"/>
      <c r="N60" s="117"/>
      <c r="O60" s="117"/>
      <c r="P60" s="117"/>
      <c r="Q60" s="117"/>
      <c r="R60" s="117"/>
      <c r="S60" s="117"/>
      <c r="T60" s="117"/>
      <c r="U60" s="117"/>
      <c r="V60" s="117"/>
      <c r="W60" s="117"/>
      <c r="X60" s="117"/>
      <c r="Y60" s="117"/>
      <c r="Z60" s="117"/>
      <c r="AE60"/>
    </row>
    <row r="61" spans="1:55" x14ac:dyDescent="0.2">
      <c r="B61" s="117"/>
      <c r="C61" s="118"/>
      <c r="D61" s="118"/>
      <c r="E61" s="117"/>
      <c r="F61" s="117"/>
      <c r="G61" s="117"/>
      <c r="H61" s="117"/>
      <c r="I61" s="117"/>
      <c r="J61" s="117"/>
      <c r="K61" s="117"/>
      <c r="L61" s="117"/>
      <c r="M61" s="117"/>
      <c r="N61" s="117"/>
      <c r="O61" s="117"/>
      <c r="P61" s="117"/>
      <c r="Q61" s="117"/>
      <c r="R61" s="117"/>
      <c r="S61" s="117"/>
      <c r="T61" s="117"/>
      <c r="U61" s="117"/>
      <c r="V61" s="117"/>
      <c r="W61" s="117"/>
      <c r="X61" s="117"/>
      <c r="Y61" s="117"/>
      <c r="Z61" s="117"/>
      <c r="AE61"/>
    </row>
    <row r="62" spans="1:55" x14ac:dyDescent="0.2">
      <c r="B62" s="117"/>
      <c r="C62" s="119"/>
      <c r="D62" s="119"/>
      <c r="E62" s="117"/>
      <c r="F62" s="117"/>
      <c r="G62" s="117"/>
      <c r="H62" s="117"/>
      <c r="I62" s="117"/>
      <c r="J62" s="117"/>
      <c r="K62" s="117"/>
      <c r="L62" s="117"/>
      <c r="M62" s="117"/>
      <c r="N62" s="117"/>
      <c r="O62" s="117"/>
      <c r="P62" s="120"/>
      <c r="Q62" s="120"/>
      <c r="R62" s="117"/>
      <c r="S62" s="117"/>
      <c r="T62" s="117"/>
      <c r="U62" s="117"/>
      <c r="V62" s="117"/>
      <c r="W62" s="117"/>
      <c r="X62" s="117"/>
      <c r="Y62" s="117"/>
      <c r="Z62" s="117"/>
      <c r="AE62"/>
    </row>
    <row r="63" spans="1:55" x14ac:dyDescent="0.2">
      <c r="B63" s="117"/>
      <c r="C63" s="121"/>
      <c r="D63" s="117"/>
      <c r="E63" s="117"/>
      <c r="F63" s="117"/>
      <c r="G63" s="117"/>
      <c r="H63" s="117"/>
      <c r="I63" s="117"/>
      <c r="J63" s="117"/>
      <c r="K63" s="117"/>
      <c r="L63" s="117"/>
      <c r="M63" s="117"/>
      <c r="N63" s="117"/>
      <c r="O63" s="117"/>
      <c r="P63" s="117"/>
      <c r="Q63" s="117"/>
      <c r="R63" s="117"/>
      <c r="S63" s="117"/>
      <c r="T63" s="117"/>
      <c r="U63" s="117"/>
      <c r="V63" s="117"/>
      <c r="W63" s="117"/>
      <c r="X63" s="117"/>
      <c r="Y63" s="117"/>
      <c r="Z63" s="117"/>
      <c r="AE63"/>
    </row>
    <row r="64" spans="1:55" x14ac:dyDescent="0.2">
      <c r="B64" s="117"/>
      <c r="C64" s="117"/>
      <c r="D64" s="117"/>
      <c r="E64" s="117"/>
      <c r="F64" s="117"/>
      <c r="G64" s="117"/>
      <c r="H64" s="117"/>
      <c r="I64" s="117"/>
      <c r="J64" s="117"/>
      <c r="K64" s="117"/>
      <c r="L64" s="117"/>
      <c r="M64" s="117"/>
      <c r="N64" s="117"/>
      <c r="O64" s="117"/>
      <c r="P64" s="117"/>
      <c r="Q64" s="117"/>
      <c r="R64" s="117"/>
      <c r="S64" s="117"/>
      <c r="T64" s="117"/>
      <c r="U64" s="117"/>
      <c r="V64" s="117"/>
      <c r="W64" s="117"/>
      <c r="X64" s="117"/>
      <c r="Y64" s="117"/>
      <c r="Z64" s="117"/>
      <c r="AE64"/>
    </row>
    <row r="65" spans="1:31" x14ac:dyDescent="0.2">
      <c r="B65" s="117"/>
      <c r="C65" s="117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17"/>
      <c r="O65" s="122"/>
      <c r="P65" s="117"/>
      <c r="Q65" s="117"/>
      <c r="R65" s="117"/>
      <c r="S65" s="117"/>
      <c r="T65" s="117"/>
      <c r="U65" s="117"/>
      <c r="V65" s="117"/>
      <c r="W65" s="117"/>
      <c r="X65" s="117"/>
      <c r="Y65" s="117"/>
      <c r="Z65" s="117"/>
      <c r="AE65"/>
    </row>
    <row r="66" spans="1:31" x14ac:dyDescent="0.2">
      <c r="B66" s="117"/>
      <c r="C66" s="117"/>
      <c r="D66" s="117"/>
      <c r="E66" s="117"/>
      <c r="F66" s="117"/>
      <c r="G66" s="117"/>
      <c r="H66" s="117"/>
      <c r="I66" s="117"/>
      <c r="J66" s="117"/>
      <c r="K66" s="117"/>
      <c r="L66" s="117"/>
      <c r="M66" s="117"/>
      <c r="N66" s="117"/>
      <c r="O66" s="117"/>
      <c r="P66" s="117"/>
      <c r="Q66" s="117"/>
      <c r="R66" s="117"/>
      <c r="S66" s="117"/>
      <c r="T66" s="117"/>
      <c r="U66" s="117"/>
      <c r="V66" s="117"/>
      <c r="W66" s="117"/>
      <c r="X66" s="117"/>
      <c r="Y66" s="117"/>
      <c r="Z66" s="117"/>
      <c r="AE66"/>
    </row>
    <row r="67" spans="1:31" x14ac:dyDescent="0.2">
      <c r="G67" s="1"/>
      <c r="H67" s="1"/>
      <c r="I67" s="1"/>
      <c r="J67" s="1"/>
      <c r="K67" s="1"/>
      <c r="L67" s="1"/>
      <c r="M67" s="1"/>
      <c r="N67" s="1"/>
      <c r="AE67"/>
    </row>
    <row r="68" spans="1:31" ht="24" x14ac:dyDescent="0.3">
      <c r="A68" s="86" t="s">
        <v>121</v>
      </c>
      <c r="AE68"/>
    </row>
    <row r="69" spans="1:31" x14ac:dyDescent="0.2">
      <c r="A69" s="6" t="s">
        <v>157</v>
      </c>
      <c r="AE69"/>
    </row>
    <row r="70" spans="1:31" x14ac:dyDescent="0.2">
      <c r="A70" s="6" t="s">
        <v>122</v>
      </c>
      <c r="AE70"/>
    </row>
    <row r="71" spans="1:31" x14ac:dyDescent="0.2">
      <c r="A71" s="6" t="s">
        <v>126</v>
      </c>
      <c r="AE71"/>
    </row>
    <row r="72" spans="1:31" x14ac:dyDescent="0.2">
      <c r="A72" s="6" t="s">
        <v>123</v>
      </c>
      <c r="AE72"/>
    </row>
    <row r="73" spans="1:31" x14ac:dyDescent="0.2">
      <c r="A73" s="6" t="s">
        <v>124</v>
      </c>
      <c r="AE73"/>
    </row>
    <row r="74" spans="1:31" x14ac:dyDescent="0.2">
      <c r="A74" s="6" t="s">
        <v>125</v>
      </c>
      <c r="AE74"/>
    </row>
    <row r="75" spans="1:31" x14ac:dyDescent="0.2">
      <c r="AE75"/>
    </row>
    <row r="76" spans="1:31" x14ac:dyDescent="0.2">
      <c r="G76" s="6"/>
      <c r="H76" s="6"/>
      <c r="I76" s="6"/>
      <c r="J76" s="6"/>
      <c r="K76" s="6"/>
      <c r="L76" s="6"/>
      <c r="M76" s="6"/>
      <c r="N76" s="6"/>
      <c r="AE76"/>
    </row>
    <row r="77" spans="1:31" x14ac:dyDescent="0.2">
      <c r="G77" s="6"/>
      <c r="H77" s="6"/>
      <c r="I77" s="6"/>
      <c r="J77" s="6"/>
      <c r="K77" s="6"/>
      <c r="L77" s="6"/>
      <c r="M77" s="6"/>
      <c r="N77" s="6"/>
      <c r="AE77"/>
    </row>
    <row r="78" spans="1:31" x14ac:dyDescent="0.2">
      <c r="G78" s="6"/>
      <c r="H78" s="6"/>
      <c r="I78" s="6"/>
      <c r="J78" s="6"/>
      <c r="K78" s="6"/>
      <c r="L78" s="6"/>
      <c r="M78" s="6"/>
      <c r="N78" s="6"/>
      <c r="AE78"/>
    </row>
    <row r="79" spans="1:31" x14ac:dyDescent="0.2">
      <c r="AE79"/>
    </row>
    <row r="80" spans="1:31" x14ac:dyDescent="0.2">
      <c r="AE80"/>
    </row>
    <row r="81" spans="31:31" x14ac:dyDescent="0.2">
      <c r="AE81"/>
    </row>
    <row r="82" spans="31:31" x14ac:dyDescent="0.2">
      <c r="AE82"/>
    </row>
    <row r="83" spans="31:31" x14ac:dyDescent="0.2">
      <c r="AE83"/>
    </row>
    <row r="84" spans="31:31" x14ac:dyDescent="0.2">
      <c r="AE84"/>
    </row>
    <row r="85" spans="31:31" x14ac:dyDescent="0.2">
      <c r="AE85"/>
    </row>
    <row r="86" spans="31:31" x14ac:dyDescent="0.2">
      <c r="AE86"/>
    </row>
    <row r="87" spans="31:31" x14ac:dyDescent="0.2">
      <c r="AE87"/>
    </row>
    <row r="88" spans="31:31" x14ac:dyDescent="0.2">
      <c r="AE88"/>
    </row>
    <row r="89" spans="31:31" x14ac:dyDescent="0.2">
      <c r="AE89"/>
    </row>
    <row r="90" spans="31:31" x14ac:dyDescent="0.2">
      <c r="AE90"/>
    </row>
    <row r="91" spans="31:31" x14ac:dyDescent="0.2">
      <c r="AE91"/>
    </row>
    <row r="92" spans="31:31" x14ac:dyDescent="0.2">
      <c r="AE92"/>
    </row>
    <row r="93" spans="31:31" x14ac:dyDescent="0.2">
      <c r="AE93"/>
    </row>
    <row r="94" spans="31:31" x14ac:dyDescent="0.2">
      <c r="AE94"/>
    </row>
    <row r="95" spans="31:31" x14ac:dyDescent="0.2">
      <c r="AE95"/>
    </row>
    <row r="96" spans="31:31" x14ac:dyDescent="0.2">
      <c r="AE96"/>
    </row>
    <row r="97" spans="31:31" x14ac:dyDescent="0.2">
      <c r="AE97"/>
    </row>
    <row r="98" spans="31:31" x14ac:dyDescent="0.2">
      <c r="AE98"/>
    </row>
    <row r="99" spans="31:31" x14ac:dyDescent="0.2">
      <c r="AE99"/>
    </row>
    <row r="100" spans="31:31" x14ac:dyDescent="0.2">
      <c r="AE100"/>
    </row>
    <row r="101" spans="31:31" x14ac:dyDescent="0.2">
      <c r="AE101"/>
    </row>
    <row r="102" spans="31:31" x14ac:dyDescent="0.2">
      <c r="AE102"/>
    </row>
    <row r="103" spans="31:31" x14ac:dyDescent="0.2">
      <c r="AE103"/>
    </row>
    <row r="104" spans="31:31" x14ac:dyDescent="0.2">
      <c r="AE104"/>
    </row>
    <row r="105" spans="31:31" x14ac:dyDescent="0.2">
      <c r="AE105"/>
    </row>
    <row r="106" spans="31:31" x14ac:dyDescent="0.2">
      <c r="AE106"/>
    </row>
    <row r="107" spans="31:31" x14ac:dyDescent="0.2">
      <c r="AE107"/>
    </row>
    <row r="108" spans="31:31" x14ac:dyDescent="0.2">
      <c r="AE108"/>
    </row>
    <row r="109" spans="31:31" x14ac:dyDescent="0.2">
      <c r="AE109"/>
    </row>
    <row r="110" spans="31:31" x14ac:dyDescent="0.2">
      <c r="AE110"/>
    </row>
    <row r="111" spans="31:31" x14ac:dyDescent="0.2">
      <c r="AE111"/>
    </row>
    <row r="112" spans="31:31" x14ac:dyDescent="0.2">
      <c r="AE112"/>
    </row>
    <row r="113" spans="31:31" x14ac:dyDescent="0.2">
      <c r="AE113"/>
    </row>
    <row r="114" spans="31:31" x14ac:dyDescent="0.2">
      <c r="AE114"/>
    </row>
    <row r="115" spans="31:31" x14ac:dyDescent="0.2">
      <c r="AE115"/>
    </row>
    <row r="116" spans="31:31" x14ac:dyDescent="0.2">
      <c r="AE116"/>
    </row>
    <row r="117" spans="31:31" x14ac:dyDescent="0.2">
      <c r="AE117"/>
    </row>
    <row r="118" spans="31:31" x14ac:dyDescent="0.2">
      <c r="AE118"/>
    </row>
    <row r="119" spans="31:31" x14ac:dyDescent="0.2">
      <c r="AE119"/>
    </row>
    <row r="120" spans="31:31" x14ac:dyDescent="0.2">
      <c r="AE120"/>
    </row>
    <row r="121" spans="31:31" x14ac:dyDescent="0.2">
      <c r="AE121"/>
    </row>
    <row r="122" spans="31:31" x14ac:dyDescent="0.2">
      <c r="AE122"/>
    </row>
    <row r="123" spans="31:31" x14ac:dyDescent="0.2">
      <c r="AE123"/>
    </row>
    <row r="124" spans="31:31" x14ac:dyDescent="0.2">
      <c r="AE124"/>
    </row>
    <row r="125" spans="31:31" x14ac:dyDescent="0.2">
      <c r="AE125"/>
    </row>
    <row r="126" spans="31:31" x14ac:dyDescent="0.2">
      <c r="AE126"/>
    </row>
    <row r="127" spans="31:31" x14ac:dyDescent="0.2">
      <c r="AE127"/>
    </row>
    <row r="128" spans="31:31" x14ac:dyDescent="0.2">
      <c r="AE128"/>
    </row>
    <row r="129" spans="31:31" x14ac:dyDescent="0.2">
      <c r="AE129"/>
    </row>
    <row r="130" spans="31:31" x14ac:dyDescent="0.2">
      <c r="AE130"/>
    </row>
    <row r="131" spans="31:31" x14ac:dyDescent="0.2">
      <c r="AE131"/>
    </row>
    <row r="132" spans="31:31" x14ac:dyDescent="0.2">
      <c r="AE132"/>
    </row>
    <row r="133" spans="31:31" x14ac:dyDescent="0.2">
      <c r="AE133"/>
    </row>
    <row r="134" spans="31:31" x14ac:dyDescent="0.2">
      <c r="AE134"/>
    </row>
    <row r="135" spans="31:31" x14ac:dyDescent="0.2">
      <c r="AE135"/>
    </row>
    <row r="136" spans="31:31" x14ac:dyDescent="0.2">
      <c r="AE136"/>
    </row>
    <row r="137" spans="31:31" x14ac:dyDescent="0.2">
      <c r="AE137"/>
    </row>
    <row r="138" spans="31:31" x14ac:dyDescent="0.2">
      <c r="AE138"/>
    </row>
    <row r="139" spans="31:31" x14ac:dyDescent="0.2">
      <c r="AE139"/>
    </row>
    <row r="140" spans="31:31" x14ac:dyDescent="0.2">
      <c r="AE140"/>
    </row>
    <row r="141" spans="31:31" x14ac:dyDescent="0.2">
      <c r="AE141"/>
    </row>
    <row r="142" spans="31:31" x14ac:dyDescent="0.2">
      <c r="AE142"/>
    </row>
    <row r="143" spans="31:31" x14ac:dyDescent="0.2">
      <c r="AE143"/>
    </row>
    <row r="144" spans="31:31" x14ac:dyDescent="0.2">
      <c r="AE144"/>
    </row>
  </sheetData>
  <sheetProtection algorithmName="SHA-512" hashValue="WRt/Eim8ryGH4/yuXnowvj6WNl91XrCeH4HrryY+aRbsaMGAd1FmUzSuV6q1sNua/0EYuHXKhQ7/HVZxlzFCEw==" saltValue="gj9FeS9cmDPi1kvIRoZeSA==" spinCount="100000" sheet="1" pivotTables="0"/>
  <mergeCells count="23">
    <mergeCell ref="Y9:Z9"/>
    <mergeCell ref="D2:E2"/>
    <mergeCell ref="I3:J3"/>
    <mergeCell ref="B6:D6"/>
    <mergeCell ref="N6:P6"/>
    <mergeCell ref="J9:K9"/>
    <mergeCell ref="D3:E3"/>
    <mergeCell ref="J10:K10"/>
    <mergeCell ref="Y10:Z10"/>
    <mergeCell ref="J11:K11"/>
    <mergeCell ref="Y11:Z11"/>
    <mergeCell ref="J12:K12"/>
    <mergeCell ref="Y12:Z12"/>
    <mergeCell ref="A44:AA44"/>
    <mergeCell ref="A56:AA56"/>
    <mergeCell ref="J13:K13"/>
    <mergeCell ref="Y13:Z13"/>
    <mergeCell ref="A36:AA36"/>
    <mergeCell ref="N37:R37"/>
    <mergeCell ref="N38:R38"/>
    <mergeCell ref="S38:W38"/>
    <mergeCell ref="A39:I39"/>
    <mergeCell ref="A40:I40"/>
  </mergeCells>
  <conditionalFormatting sqref="A17 A17:E21 A27:E31">
    <cfRule type="expression" dxfId="94" priority="8">
      <formula>AND(AND(($A$17=""),($A$18=""),AND($A$19="")),AND($A$27="",$A$28=""))</formula>
    </cfRule>
  </conditionalFormatting>
  <conditionalFormatting sqref="A17:E21 A27:E31">
    <cfRule type="cellIs" dxfId="93" priority="1" operator="lessThan">
      <formula>0</formula>
    </cfRule>
    <cfRule type="expression" dxfId="92" priority="6">
      <formula>OR(RIGHT($O17,4)="W.O.",RIGHT($F17,4)="W.O.")</formula>
    </cfRule>
    <cfRule type="cellIs" dxfId="91" priority="9" operator="greaterThan">
      <formula>0</formula>
    </cfRule>
  </conditionalFormatting>
  <conditionalFormatting sqref="F17:F21">
    <cfRule type="expression" dxfId="90" priority="5">
      <formula>AND(ISNUMBER(L17),L17&gt;0)</formula>
    </cfRule>
  </conditionalFormatting>
  <conditionalFormatting sqref="F27:F31">
    <cfRule type="expression" dxfId="89" priority="2">
      <formula>AND(ISNUMBER(L27),L27&gt;0)</formula>
    </cfRule>
  </conditionalFormatting>
  <conditionalFormatting sqref="I3 N3 R3 B6 F6 N6 R6 B10:C13 P10:Q13 N37:N38 S38">
    <cfRule type="containsBlanks" dxfId="88" priority="12">
      <formula>LEN(TRIM(B3))=0</formula>
    </cfRule>
  </conditionalFormatting>
  <conditionalFormatting sqref="L17:L21 N17:N21 L27:L31 N27:N31">
    <cfRule type="cellIs" dxfId="87" priority="7" operator="greaterThan">
      <formula>0</formula>
    </cfRule>
  </conditionalFormatting>
  <conditionalFormatting sqref="O17:O21">
    <cfRule type="expression" dxfId="86" priority="4">
      <formula>AND(ISNUMBER(N17),N17&gt;0)</formula>
    </cfRule>
  </conditionalFormatting>
  <conditionalFormatting sqref="O27:O31">
    <cfRule type="expression" dxfId="85" priority="3">
      <formula>AND(ISNUMBER(N27),N27&gt;0)</formula>
    </cfRule>
  </conditionalFormatting>
  <dataValidations count="7">
    <dataValidation type="list" allowBlank="1" showInputMessage="1" showErrorMessage="1" sqref="R6 F6" xr:uid="{00000000-0002-0000-0200-000000000000}">
      <formula1>$BD$28:$BD$34</formula1>
    </dataValidation>
    <dataValidation type="list" allowBlank="1" showInputMessage="1" showErrorMessage="1" sqref="N3" xr:uid="{00000000-0002-0000-0200-000001000000}">
      <formula1>$BD$35:$BD$37</formula1>
    </dataValidation>
    <dataValidation type="list" allowBlank="1" showInputMessage="1" showErrorMessage="1" sqref="I3:J3" xr:uid="{00000000-0002-0000-0200-000002000000}">
      <formula1>$BD$21:$BD$25</formula1>
    </dataValidation>
    <dataValidation type="list" allowBlank="1" showInputMessage="1" showErrorMessage="1" sqref="N6:P6 B6:D6" xr:uid="{00000000-0002-0000-0200-000004000000}">
      <formula1>Club</formula1>
    </dataValidation>
    <dataValidation type="list" allowBlank="1" showInputMessage="1" showErrorMessage="1" sqref="N38:R38" xr:uid="{00000000-0002-0000-0200-000005000000}">
      <formula1>$AZ$41:$AZ$44</formula1>
    </dataValidation>
    <dataValidation type="list" allowBlank="1" showInputMessage="1" showErrorMessage="1" sqref="N37:R37" xr:uid="{00000000-0002-0000-0200-000006000000}">
      <formula1>$AZ$45:$AZ$48</formula1>
    </dataValidation>
    <dataValidation type="list" allowBlank="1" showInputMessage="1" sqref="S38:W38" xr:uid="{00000000-0002-0000-0200-000007000000}">
      <formula1>$AZ$41:$AZ$48</formula1>
    </dataValidation>
  </dataValidations>
  <hyperlinks>
    <hyperlink ref="T42" r:id="rId2" display="ufolep.equipe4@gmail.com_x000a_" xr:uid="{00000000-0004-0000-0200-000000000000}"/>
  </hyperlinks>
  <printOptions horizontalCentered="1" verticalCentered="1"/>
  <pageMargins left="0.31496062992125984" right="0.31496062992125984" top="0.15748031496062992" bottom="0.35433070866141736" header="0.11811023622047245" footer="0.31496062992125984"/>
  <pageSetup paperSize="9" scale="59" fitToHeight="2" orientation="landscape" r:id="rId3"/>
  <headerFooter>
    <oddHeader>&amp;C&amp;"Calibri"&amp;10&amp;KFF8C00C2 - Confidential&amp;1#</oddHeader>
  </headerFooter>
  <rowBreaks count="1" manualBreakCount="1">
    <brk id="43" max="26" man="1"/>
  </rowBreaks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3000000}">
          <x14:formula1>
            <xm:f>'Jour Match'!$B$14:$B$25</xm:f>
          </x14:formula1>
          <xm:sqref>R3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6">
    <tabColor rgb="FF00B050"/>
  </sheetPr>
  <dimension ref="A1:AI69"/>
  <sheetViews>
    <sheetView zoomScale="70" zoomScaleNormal="70" workbookViewId="0">
      <selection activeCell="A2" sqref="A2"/>
    </sheetView>
  </sheetViews>
  <sheetFormatPr baseColWidth="10" defaultRowHeight="16" x14ac:dyDescent="0.2"/>
  <cols>
    <col min="1" max="6" width="5.6640625" customWidth="1"/>
    <col min="7" max="10" width="6.6640625" customWidth="1"/>
    <col min="11" max="11" width="5.6640625" customWidth="1"/>
    <col min="12" max="12" width="1.6640625" customWidth="1"/>
    <col min="13" max="18" width="5.6640625" customWidth="1"/>
    <col min="19" max="22" width="6.6640625" customWidth="1"/>
    <col min="23" max="23" width="5.6640625" customWidth="1"/>
    <col min="24" max="24" width="1.6640625" customWidth="1"/>
    <col min="25" max="30" width="5.6640625" customWidth="1"/>
    <col min="31" max="34" width="6.6640625" customWidth="1"/>
    <col min="35" max="42" width="5.6640625" customWidth="1"/>
  </cols>
  <sheetData>
    <row r="1" spans="1:35" ht="21" customHeight="1" x14ac:dyDescent="0.25">
      <c r="A1" s="476" t="s">
        <v>1664</v>
      </c>
      <c r="B1" s="476"/>
      <c r="C1" s="476"/>
      <c r="D1" s="476"/>
      <c r="E1" s="476"/>
      <c r="F1" s="476"/>
      <c r="G1" s="476"/>
      <c r="H1" s="476"/>
      <c r="I1" s="476"/>
      <c r="J1" s="476"/>
      <c r="K1" s="476"/>
      <c r="L1" s="151"/>
      <c r="M1" s="476" t="str">
        <f>A1</f>
        <v>UFOLEP 77 – Championnat départemental à 4 - 2025 - 2026</v>
      </c>
      <c r="N1" s="476"/>
      <c r="O1" s="476"/>
      <c r="P1" s="476"/>
      <c r="Q1" s="476"/>
      <c r="R1" s="476"/>
      <c r="S1" s="476"/>
      <c r="T1" s="476"/>
      <c r="U1" s="476"/>
      <c r="V1" s="476"/>
      <c r="W1" s="476"/>
      <c r="X1" s="151"/>
      <c r="Y1" s="476" t="str">
        <f>A1</f>
        <v>UFOLEP 77 – Championnat départemental à 4 - 2025 - 2026</v>
      </c>
      <c r="Z1" s="476"/>
      <c r="AA1" s="476"/>
      <c r="AB1" s="476"/>
      <c r="AC1" s="476"/>
      <c r="AD1" s="476"/>
      <c r="AE1" s="476"/>
      <c r="AF1" s="476"/>
      <c r="AG1" s="476"/>
      <c r="AH1" s="476"/>
      <c r="AI1" s="476"/>
    </row>
    <row r="2" spans="1:35" ht="21" customHeight="1" x14ac:dyDescent="0.2">
      <c r="A2" s="129"/>
      <c r="B2" s="470">
        <f>+' EQUIPE A 4'!$I$3</f>
        <v>0</v>
      </c>
      <c r="C2" s="470"/>
      <c r="D2" s="470"/>
      <c r="E2" s="470"/>
      <c r="F2" s="470"/>
      <c r="G2" s="130" t="s">
        <v>28</v>
      </c>
      <c r="H2" s="133">
        <f>+' EQUIPE A 4'!$N$3</f>
        <v>0</v>
      </c>
      <c r="I2" s="131" t="s">
        <v>427</v>
      </c>
      <c r="J2" s="131"/>
      <c r="K2" s="132">
        <f>+' EQUIPE A 4'!$R$3</f>
        <v>0</v>
      </c>
      <c r="L2" s="152"/>
      <c r="M2" s="129"/>
      <c r="N2" s="470">
        <f>+' EQUIPE A 4'!$I$3</f>
        <v>0</v>
      </c>
      <c r="O2" s="470"/>
      <c r="P2" s="470"/>
      <c r="Q2" s="470"/>
      <c r="R2" s="470"/>
      <c r="S2" s="130" t="s">
        <v>28</v>
      </c>
      <c r="T2" s="133">
        <f>+' EQUIPE A 4'!$N$3</f>
        <v>0</v>
      </c>
      <c r="U2" s="131" t="s">
        <v>427</v>
      </c>
      <c r="V2" s="131"/>
      <c r="W2" s="132">
        <f>+' EQUIPE A 4'!$R$3</f>
        <v>0</v>
      </c>
      <c r="X2" s="152"/>
      <c r="Y2" s="129"/>
      <c r="Z2" s="131"/>
      <c r="AA2" s="131"/>
      <c r="AB2" s="131"/>
      <c r="AC2" s="470">
        <f>+' EQUIPE A 4'!$I$3</f>
        <v>0</v>
      </c>
      <c r="AD2" s="470"/>
      <c r="AE2" s="130" t="s">
        <v>28</v>
      </c>
      <c r="AF2" s="133">
        <f>+' EQUIPE A 4'!$N$3</f>
        <v>0</v>
      </c>
      <c r="AG2" s="131" t="s">
        <v>427</v>
      </c>
      <c r="AH2" s="131"/>
      <c r="AI2" s="132">
        <f>+' EQUIPE A 4'!$R$3</f>
        <v>0</v>
      </c>
    </row>
    <row r="3" spans="1:35" ht="21" customHeight="1" x14ac:dyDescent="0.2">
      <c r="A3" s="475" t="str">
        <f>+' EQUIPE A 4'!$B$6&amp;" "&amp;' EQUIPE A 4'!$F$6</f>
        <v xml:space="preserve"> </v>
      </c>
      <c r="B3" s="475"/>
      <c r="C3" s="475"/>
      <c r="D3" s="475"/>
      <c r="E3" s="475"/>
      <c r="F3" s="475"/>
      <c r="G3" s="153" t="s">
        <v>426</v>
      </c>
      <c r="H3" s="468" t="str">
        <f>+' EQUIPE A 4'!$N$6&amp;" "&amp;' EQUIPE A 4'!$R$6</f>
        <v xml:space="preserve"> </v>
      </c>
      <c r="I3" s="468"/>
      <c r="J3" s="468"/>
      <c r="K3" s="468"/>
      <c r="L3" s="154"/>
      <c r="M3" s="475" t="str">
        <f>+' EQUIPE A 4'!$B$6&amp;" "&amp;' EQUIPE A 4'!$F$6</f>
        <v xml:space="preserve"> </v>
      </c>
      <c r="N3" s="475"/>
      <c r="O3" s="475"/>
      <c r="P3" s="475"/>
      <c r="Q3" s="475"/>
      <c r="R3" s="475"/>
      <c r="S3" s="147" t="s">
        <v>426</v>
      </c>
      <c r="T3" s="468" t="str">
        <f>+' EQUIPE A 4'!$N$6&amp;" "&amp;' EQUIPE A 4'!$R$6</f>
        <v xml:space="preserve"> </v>
      </c>
      <c r="U3" s="468"/>
      <c r="V3" s="468"/>
      <c r="W3" s="468"/>
      <c r="X3" s="154"/>
      <c r="Y3" s="475" t="str">
        <f>+' EQUIPE A 4'!$B$6&amp;" "&amp;' EQUIPE A 4'!$F$6</f>
        <v xml:space="preserve"> </v>
      </c>
      <c r="Z3" s="475"/>
      <c r="AA3" s="475"/>
      <c r="AB3" s="475"/>
      <c r="AC3" s="475"/>
      <c r="AD3" s="475"/>
      <c r="AE3" s="153" t="s">
        <v>426</v>
      </c>
      <c r="AF3" s="468" t="str">
        <f>+' EQUIPE A 4'!$N$6&amp;" "&amp;' EQUIPE A 4'!$R$6</f>
        <v xml:space="preserve"> </v>
      </c>
      <c r="AG3" s="468"/>
      <c r="AH3" s="468"/>
      <c r="AI3" s="468"/>
    </row>
    <row r="4" spans="1:35" ht="21" customHeight="1" thickBot="1" x14ac:dyDescent="0.25">
      <c r="A4" s="134" t="s">
        <v>29</v>
      </c>
      <c r="B4" s="512" t="str">
        <f>IF(ISBLANK(' EQUIPE A 4'!D3),' EQUIPE A 4'!D2,' EQUIPE A 4'!D3)</f>
        <v/>
      </c>
      <c r="C4" s="512" t="e">
        <f>IF(ISBLANK(' EQUIPE A 4'!#REF!),' EQUIPE A 4'!#REF!,#REF!)</f>
        <v>#REF!</v>
      </c>
      <c r="D4" s="512" t="e">
        <f>IF(ISBLANK(' EQUIPE A 4'!#REF!),' EQUIPE A 4'!#REF!,#REF!)</f>
        <v>#REF!</v>
      </c>
      <c r="E4" s="512" t="e">
        <f>IF(ISBLANK(' EQUIPE A 4'!#REF!),' EQUIPE A 4'!#REF!,#REF!)</f>
        <v>#REF!</v>
      </c>
      <c r="F4" s="512" t="e">
        <f>IF(ISBLANK(' EQUIPE A 4'!#REF!),' EQUIPE A 4'!#REF!,#REF!)</f>
        <v>#REF!</v>
      </c>
      <c r="G4" s="135"/>
      <c r="H4" s="136" t="s">
        <v>407</v>
      </c>
      <c r="I4" s="135"/>
      <c r="J4" s="135"/>
      <c r="K4" s="137"/>
      <c r="L4" s="155"/>
      <c r="M4" s="134" t="s">
        <v>29</v>
      </c>
      <c r="N4" s="512" t="str">
        <f>+B4</f>
        <v/>
      </c>
      <c r="O4" s="512"/>
      <c r="P4" s="512"/>
      <c r="Q4" s="512"/>
      <c r="R4" s="512"/>
      <c r="S4" s="135"/>
      <c r="T4" s="136" t="s">
        <v>407</v>
      </c>
      <c r="U4" s="135"/>
      <c r="V4" s="135"/>
      <c r="W4" s="137"/>
      <c r="X4" s="155"/>
      <c r="Y4" s="134" t="s">
        <v>29</v>
      </c>
      <c r="Z4" s="512" t="str">
        <f>+B4</f>
        <v/>
      </c>
      <c r="AA4" s="512"/>
      <c r="AB4" s="512"/>
      <c r="AC4" s="512">
        <v>43382</v>
      </c>
      <c r="AD4" s="512"/>
      <c r="AE4" s="135"/>
      <c r="AF4" s="136" t="s">
        <v>407</v>
      </c>
      <c r="AG4" s="135"/>
      <c r="AH4" s="135"/>
      <c r="AI4" s="137"/>
    </row>
    <row r="5" spans="1:35" ht="21" customHeight="1" thickTop="1" x14ac:dyDescent="0.2">
      <c r="A5" s="129"/>
      <c r="B5" s="138"/>
      <c r="C5" s="138"/>
      <c r="D5" s="138"/>
      <c r="E5" s="138"/>
      <c r="F5" s="131"/>
      <c r="G5" s="131" t="s">
        <v>1021</v>
      </c>
      <c r="H5" s="131"/>
      <c r="I5" s="131"/>
      <c r="J5" s="131"/>
      <c r="K5" s="139"/>
      <c r="L5" s="155"/>
      <c r="M5" s="129"/>
      <c r="N5" s="138"/>
      <c r="O5" s="138"/>
      <c r="P5" s="138"/>
      <c r="Q5" s="138"/>
      <c r="R5" s="131"/>
      <c r="S5" s="131" t="s">
        <v>1021</v>
      </c>
      <c r="T5" s="131"/>
      <c r="U5" s="131"/>
      <c r="V5" s="131"/>
      <c r="W5" s="139"/>
      <c r="X5" s="155"/>
      <c r="Y5" s="129"/>
      <c r="Z5" s="131"/>
      <c r="AA5" s="131"/>
      <c r="AB5" s="131"/>
      <c r="AC5" s="138"/>
      <c r="AD5" s="131"/>
      <c r="AE5" s="131" t="s">
        <v>1021</v>
      </c>
      <c r="AF5" s="131"/>
      <c r="AG5" s="131"/>
      <c r="AH5" s="131"/>
      <c r="AI5" s="139"/>
    </row>
    <row r="6" spans="1:35" ht="21" customHeight="1" x14ac:dyDescent="0.25">
      <c r="A6" s="156" t="s">
        <v>405</v>
      </c>
      <c r="B6" s="474" t="s">
        <v>428</v>
      </c>
      <c r="C6" s="474"/>
      <c r="D6" s="474"/>
      <c r="E6" s="474"/>
      <c r="F6" s="474"/>
      <c r="G6" s="157" t="s">
        <v>12</v>
      </c>
      <c r="H6" s="157" t="s">
        <v>13</v>
      </c>
      <c r="I6" s="157" t="s">
        <v>14</v>
      </c>
      <c r="J6" s="157" t="s">
        <v>15</v>
      </c>
      <c r="K6" s="157" t="s">
        <v>16</v>
      </c>
      <c r="L6" s="158"/>
      <c r="M6" s="156" t="s">
        <v>405</v>
      </c>
      <c r="N6" s="474" t="s">
        <v>429</v>
      </c>
      <c r="O6" s="474"/>
      <c r="P6" s="474"/>
      <c r="Q6" s="474"/>
      <c r="R6" s="474"/>
      <c r="S6" s="157" t="s">
        <v>12</v>
      </c>
      <c r="T6" s="157" t="s">
        <v>13</v>
      </c>
      <c r="U6" s="157" t="s">
        <v>14</v>
      </c>
      <c r="V6" s="157" t="s">
        <v>15</v>
      </c>
      <c r="W6" s="157" t="s">
        <v>16</v>
      </c>
      <c r="X6" s="158"/>
      <c r="Y6" s="156" t="s">
        <v>405</v>
      </c>
      <c r="Z6" s="474" t="s">
        <v>430</v>
      </c>
      <c r="AA6" s="474"/>
      <c r="AB6" s="474"/>
      <c r="AC6" s="474"/>
      <c r="AD6" s="474"/>
      <c r="AE6" s="157" t="s">
        <v>12</v>
      </c>
      <c r="AF6" s="157" t="s">
        <v>13</v>
      </c>
      <c r="AG6" s="157" t="s">
        <v>14</v>
      </c>
      <c r="AH6" s="157" t="s">
        <v>15</v>
      </c>
      <c r="AI6" s="157" t="s">
        <v>16</v>
      </c>
    </row>
    <row r="7" spans="1:35" ht="24" customHeight="1" x14ac:dyDescent="0.2">
      <c r="A7" s="159" t="str">
        <f>+' EQUIPE A 4'!C10</f>
        <v xml:space="preserve"> </v>
      </c>
      <c r="B7" s="131"/>
      <c r="C7" s="131"/>
      <c r="D7" s="131"/>
      <c r="E7" s="131"/>
      <c r="F7" s="131"/>
      <c r="G7" s="141"/>
      <c r="H7" s="141"/>
      <c r="I7" s="141"/>
      <c r="J7" s="141"/>
      <c r="K7" s="141"/>
      <c r="L7" s="155"/>
      <c r="M7" s="159" t="str">
        <f>+' EQUIPE A 4'!C11</f>
        <v xml:space="preserve"> </v>
      </c>
      <c r="N7" s="131"/>
      <c r="O7" s="131"/>
      <c r="P7" s="131"/>
      <c r="Q7" s="131"/>
      <c r="R7" s="131"/>
      <c r="S7" s="141"/>
      <c r="T7" s="141"/>
      <c r="U7" s="141"/>
      <c r="V7" s="141"/>
      <c r="W7" s="141"/>
      <c r="X7" s="155"/>
      <c r="Y7" s="159" t="str">
        <f>+' EQUIPE A 4'!C11</f>
        <v xml:space="preserve"> </v>
      </c>
      <c r="Z7" s="131"/>
      <c r="AA7" s="131"/>
      <c r="AB7" s="131"/>
      <c r="AC7" s="131"/>
      <c r="AD7" s="131"/>
      <c r="AE7" s="141"/>
      <c r="AF7" s="141"/>
      <c r="AG7" s="141"/>
      <c r="AH7" s="141"/>
      <c r="AI7" s="141"/>
    </row>
    <row r="8" spans="1:35" ht="24" customHeight="1" x14ac:dyDescent="0.2">
      <c r="A8" s="162" t="str">
        <f>' EQUIPE A 4'!I10</f>
        <v/>
      </c>
      <c r="B8" s="131"/>
      <c r="C8" s="131"/>
      <c r="D8" s="131"/>
      <c r="E8" s="131"/>
      <c r="F8" s="131"/>
      <c r="G8" s="143"/>
      <c r="H8" s="143"/>
      <c r="I8" s="143"/>
      <c r="J8" s="143"/>
      <c r="K8" s="143"/>
      <c r="L8" s="155"/>
      <c r="M8" s="163" t="str">
        <f>' EQUIPE A 4'!I11</f>
        <v/>
      </c>
      <c r="N8" s="131"/>
      <c r="O8" s="131"/>
      <c r="P8" s="131"/>
      <c r="Q8" s="131"/>
      <c r="R8" s="131"/>
      <c r="S8" s="143"/>
      <c r="T8" s="143"/>
      <c r="U8" s="143"/>
      <c r="V8" s="143"/>
      <c r="W8" s="143"/>
      <c r="X8" s="155"/>
      <c r="Y8" s="163" t="str">
        <f>' EQUIPE A 4'!I11</f>
        <v/>
      </c>
      <c r="Z8" s="131"/>
      <c r="AA8" s="131"/>
      <c r="AB8" s="131"/>
      <c r="AC8" s="131"/>
      <c r="AD8" s="131"/>
      <c r="AE8" s="143"/>
      <c r="AF8" s="143"/>
      <c r="AG8" s="143"/>
      <c r="AH8" s="143"/>
      <c r="AI8" s="143"/>
    </row>
    <row r="9" spans="1:35" ht="15.75" customHeight="1" x14ac:dyDescent="0.2">
      <c r="A9" s="142" t="s">
        <v>156</v>
      </c>
      <c r="B9" s="131"/>
      <c r="C9" s="131"/>
      <c r="D9" s="131"/>
      <c r="E9" s="131"/>
      <c r="F9" s="131"/>
      <c r="G9" s="131"/>
      <c r="H9" s="131"/>
      <c r="I9" s="131"/>
      <c r="J9" s="131"/>
      <c r="K9" s="140"/>
      <c r="L9" s="155"/>
      <c r="M9" s="142" t="s">
        <v>156</v>
      </c>
      <c r="N9" s="131"/>
      <c r="O9" s="131"/>
      <c r="P9" s="131"/>
      <c r="Q9" s="131"/>
      <c r="R9" s="131"/>
      <c r="S9" s="131"/>
      <c r="T9" s="131"/>
      <c r="U9" s="131"/>
      <c r="V9" s="131"/>
      <c r="W9" s="140"/>
      <c r="X9" s="155"/>
      <c r="Y9" s="142" t="s">
        <v>156</v>
      </c>
      <c r="Z9" s="130"/>
      <c r="AA9" s="130"/>
      <c r="AB9" s="130"/>
      <c r="AC9" s="131"/>
      <c r="AD9" s="131"/>
      <c r="AE9" s="131"/>
      <c r="AF9" s="131"/>
      <c r="AG9" s="131"/>
      <c r="AH9" s="131"/>
      <c r="AI9" s="140"/>
    </row>
    <row r="10" spans="1:35" ht="24" customHeight="1" x14ac:dyDescent="0.2">
      <c r="A10" s="159" t="str">
        <f>+' EQUIPE A 4'!$Q$10</f>
        <v xml:space="preserve"> </v>
      </c>
      <c r="B10" s="131"/>
      <c r="C10" s="131"/>
      <c r="D10" s="131"/>
      <c r="E10" s="131"/>
      <c r="F10" s="131"/>
      <c r="G10" s="141"/>
      <c r="H10" s="141"/>
      <c r="I10" s="141"/>
      <c r="J10" s="141"/>
      <c r="K10" s="141"/>
      <c r="L10" s="155"/>
      <c r="M10" s="159" t="str">
        <f>+' EQUIPE A 4'!$Q$11</f>
        <v xml:space="preserve"> </v>
      </c>
      <c r="N10" s="131"/>
      <c r="O10" s="131"/>
      <c r="P10" s="131"/>
      <c r="Q10" s="131"/>
      <c r="R10" s="131"/>
      <c r="S10" s="141"/>
      <c r="T10" s="141"/>
      <c r="U10" s="141"/>
      <c r="V10" s="141"/>
      <c r="W10" s="141"/>
      <c r="X10" s="155"/>
      <c r="Y10" s="159" t="str">
        <f>+' EQUIPE A 4'!$Q$10</f>
        <v xml:space="preserve"> </v>
      </c>
      <c r="Z10" s="131"/>
      <c r="AA10" s="131"/>
      <c r="AB10" s="131"/>
      <c r="AC10" s="131"/>
      <c r="AD10" s="131"/>
      <c r="AE10" s="141"/>
      <c r="AF10" s="141"/>
      <c r="AG10" s="141"/>
      <c r="AH10" s="141"/>
      <c r="AI10" s="141"/>
    </row>
    <row r="11" spans="1:35" ht="24" customHeight="1" x14ac:dyDescent="0.2">
      <c r="A11" s="163" t="str">
        <f>' EQUIPE A 4'!X10</f>
        <v/>
      </c>
      <c r="B11" s="131"/>
      <c r="C11" s="131"/>
      <c r="D11" s="131"/>
      <c r="E11" s="131"/>
      <c r="F11" s="131"/>
      <c r="G11" s="143"/>
      <c r="H11" s="143"/>
      <c r="I11" s="143"/>
      <c r="J11" s="143"/>
      <c r="K11" s="143"/>
      <c r="L11" s="155"/>
      <c r="M11" s="163" t="str">
        <f>' EQUIPE A 4'!X11</f>
        <v/>
      </c>
      <c r="N11" s="131"/>
      <c r="O11" s="131"/>
      <c r="P11" s="131"/>
      <c r="Q11" s="131"/>
      <c r="R11" s="131"/>
      <c r="S11" s="143"/>
      <c r="T11" s="143"/>
      <c r="U11" s="143"/>
      <c r="V11" s="143"/>
      <c r="W11" s="143"/>
      <c r="X11" s="155"/>
      <c r="Y11" s="163" t="str">
        <f>' EQUIPE A 4'!X10</f>
        <v/>
      </c>
      <c r="Z11" s="131"/>
      <c r="AA11" s="131"/>
      <c r="AB11" s="131"/>
      <c r="AC11" s="131"/>
      <c r="AD11" s="131"/>
      <c r="AE11" s="143"/>
      <c r="AF11" s="143"/>
      <c r="AG11" s="143"/>
      <c r="AH11" s="143"/>
      <c r="AI11" s="143"/>
    </row>
    <row r="12" spans="1:35" ht="21" customHeight="1" x14ac:dyDescent="0.2">
      <c r="A12" s="144" t="s">
        <v>406</v>
      </c>
      <c r="B12" s="131" t="s">
        <v>408</v>
      </c>
      <c r="C12" s="131" t="str">
        <f>' EQUIPE A 4'!Q11</f>
        <v xml:space="preserve"> </v>
      </c>
      <c r="D12" s="131"/>
      <c r="E12" s="131"/>
      <c r="F12" s="131"/>
      <c r="G12" s="131"/>
      <c r="H12" s="131"/>
      <c r="I12" s="131"/>
      <c r="J12" s="131"/>
      <c r="K12" s="139"/>
      <c r="L12" s="155"/>
      <c r="M12" s="144" t="s">
        <v>406</v>
      </c>
      <c r="N12" s="131" t="s">
        <v>409</v>
      </c>
      <c r="O12" s="131" t="str">
        <f>' EQUIPE A 4'!Q10</f>
        <v xml:space="preserve"> </v>
      </c>
      <c r="P12" s="131"/>
      <c r="Q12" s="131"/>
      <c r="R12" s="131"/>
      <c r="S12" s="131"/>
      <c r="T12" s="131"/>
      <c r="U12" s="131"/>
      <c r="V12" s="131"/>
      <c r="W12" s="139"/>
      <c r="X12" s="155"/>
      <c r="Y12" s="144" t="s">
        <v>406</v>
      </c>
      <c r="Z12" s="145" t="s">
        <v>410</v>
      </c>
      <c r="AA12" s="131" t="str">
        <f>' EQUIPE A 4'!C10</f>
        <v xml:space="preserve"> </v>
      </c>
      <c r="AB12" s="145"/>
      <c r="AC12" s="131"/>
      <c r="AD12" s="131"/>
      <c r="AE12" s="131"/>
      <c r="AF12" s="131"/>
      <c r="AG12" s="131"/>
      <c r="AH12" s="131"/>
      <c r="AI12" s="139"/>
    </row>
    <row r="13" spans="1:35" ht="21" customHeight="1" x14ac:dyDescent="0.2">
      <c r="A13" s="146"/>
      <c r="B13" s="147"/>
      <c r="C13" s="147"/>
      <c r="D13" s="147"/>
      <c r="E13" s="147"/>
      <c r="F13" s="147"/>
      <c r="G13" s="147"/>
      <c r="H13" s="147"/>
      <c r="I13" s="147"/>
      <c r="J13" s="147"/>
      <c r="K13" s="148"/>
      <c r="L13" s="155"/>
      <c r="M13" s="146"/>
      <c r="N13" s="147"/>
      <c r="O13" s="147"/>
      <c r="P13" s="147"/>
      <c r="Q13" s="147"/>
      <c r="R13" s="147"/>
      <c r="S13" s="147"/>
      <c r="T13" s="147"/>
      <c r="U13" s="147"/>
      <c r="V13" s="147"/>
      <c r="W13" s="148"/>
      <c r="X13" s="155"/>
      <c r="Y13" s="146"/>
      <c r="Z13" s="147"/>
      <c r="AA13" s="147"/>
      <c r="AB13" s="147"/>
      <c r="AC13" s="147"/>
      <c r="AD13" s="147"/>
      <c r="AE13" s="147"/>
      <c r="AF13" s="147"/>
      <c r="AG13" s="147"/>
      <c r="AH13" s="147"/>
      <c r="AI13" s="148"/>
    </row>
    <row r="14" spans="1:35" ht="2" customHeight="1" x14ac:dyDescent="0.2">
      <c r="A14" s="155"/>
      <c r="B14" s="155"/>
      <c r="C14" s="155"/>
      <c r="D14" s="155"/>
      <c r="E14" s="155"/>
      <c r="F14" s="155"/>
      <c r="G14" s="155"/>
      <c r="H14" s="155"/>
      <c r="I14" s="155"/>
      <c r="J14" s="155"/>
      <c r="K14" s="155"/>
      <c r="L14" s="155"/>
      <c r="M14" s="155"/>
      <c r="N14" s="155"/>
      <c r="O14" s="155"/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</row>
    <row r="15" spans="1:35" ht="21" customHeight="1" x14ac:dyDescent="0.25">
      <c r="A15" s="476" t="str">
        <f>A1</f>
        <v>UFOLEP 77 – Championnat départemental à 4 - 2025 - 2026</v>
      </c>
      <c r="B15" s="476"/>
      <c r="C15" s="476"/>
      <c r="D15" s="476"/>
      <c r="E15" s="476"/>
      <c r="F15" s="476"/>
      <c r="G15" s="476"/>
      <c r="H15" s="476"/>
      <c r="I15" s="476"/>
      <c r="J15" s="476"/>
      <c r="K15" s="476"/>
      <c r="L15" s="151"/>
      <c r="M15" s="476" t="str">
        <f>A1</f>
        <v>UFOLEP 77 – Championnat départemental à 4 - 2025 - 2026</v>
      </c>
      <c r="N15" s="476"/>
      <c r="O15" s="476"/>
      <c r="P15" s="476"/>
      <c r="Q15" s="476"/>
      <c r="R15" s="476"/>
      <c r="S15" s="476"/>
      <c r="T15" s="476"/>
      <c r="U15" s="476"/>
      <c r="V15" s="476"/>
      <c r="W15" s="476"/>
      <c r="X15" s="151"/>
      <c r="Y15" s="476" t="str">
        <f>A1</f>
        <v>UFOLEP 77 – Championnat départemental à 4 - 2025 - 2026</v>
      </c>
      <c r="Z15" s="476"/>
      <c r="AA15" s="476"/>
      <c r="AB15" s="476"/>
      <c r="AC15" s="476"/>
      <c r="AD15" s="476"/>
      <c r="AE15" s="476"/>
      <c r="AF15" s="476"/>
      <c r="AG15" s="476"/>
      <c r="AH15" s="476"/>
      <c r="AI15" s="476"/>
    </row>
    <row r="16" spans="1:35" ht="21" customHeight="1" x14ac:dyDescent="0.2">
      <c r="A16" s="129"/>
      <c r="B16" s="470">
        <f>+' EQUIPE A 4'!$I$3</f>
        <v>0</v>
      </c>
      <c r="C16" s="470"/>
      <c r="D16" s="470"/>
      <c r="E16" s="470"/>
      <c r="F16" s="470"/>
      <c r="G16" s="130" t="s">
        <v>28</v>
      </c>
      <c r="H16" s="133">
        <f>+' EQUIPE A 4'!$N$3</f>
        <v>0</v>
      </c>
      <c r="I16" s="131" t="s">
        <v>427</v>
      </c>
      <c r="J16" s="131"/>
      <c r="K16" s="132">
        <f>+' EQUIPE A 4'!$R$3</f>
        <v>0</v>
      </c>
      <c r="L16" s="152"/>
      <c r="M16" s="129"/>
      <c r="N16" s="470">
        <f>+' EQUIPE A 4'!$I$3</f>
        <v>0</v>
      </c>
      <c r="O16" s="470"/>
      <c r="P16" s="470"/>
      <c r="Q16" s="470"/>
      <c r="R16" s="470"/>
      <c r="S16" s="130" t="s">
        <v>28</v>
      </c>
      <c r="T16" s="133">
        <f>+' EQUIPE A 4'!$N$3</f>
        <v>0</v>
      </c>
      <c r="U16" s="131" t="s">
        <v>427</v>
      </c>
      <c r="V16" s="131"/>
      <c r="W16" s="132">
        <f>+' EQUIPE A 4'!$R$3</f>
        <v>0</v>
      </c>
      <c r="X16" s="152"/>
      <c r="Y16" s="129"/>
      <c r="Z16" s="131"/>
      <c r="AA16" s="131"/>
      <c r="AB16" s="131"/>
      <c r="AC16" s="470">
        <f>+' EQUIPE A 4'!$I$3</f>
        <v>0</v>
      </c>
      <c r="AD16" s="470"/>
      <c r="AE16" s="130" t="s">
        <v>28</v>
      </c>
      <c r="AF16" s="133">
        <f>+' EQUIPE A 4'!$N$3</f>
        <v>0</v>
      </c>
      <c r="AG16" s="131" t="s">
        <v>427</v>
      </c>
      <c r="AH16" s="131"/>
      <c r="AI16" s="132">
        <f>+' EQUIPE A 4'!$R$3</f>
        <v>0</v>
      </c>
    </row>
    <row r="17" spans="1:35" ht="21" customHeight="1" x14ac:dyDescent="0.2">
      <c r="A17" s="475" t="str">
        <f>+' EQUIPE A 4'!$B$6&amp;" "&amp;' EQUIPE A 4'!$F$6</f>
        <v xml:space="preserve"> </v>
      </c>
      <c r="B17" s="475"/>
      <c r="C17" s="475"/>
      <c r="D17" s="475"/>
      <c r="E17" s="475"/>
      <c r="F17" s="475"/>
      <c r="G17" s="153" t="s">
        <v>426</v>
      </c>
      <c r="H17" s="468" t="str">
        <f>+' EQUIPE A 4'!$N$6&amp;" "&amp;' EQUIPE A 4'!$R$6</f>
        <v xml:space="preserve"> </v>
      </c>
      <c r="I17" s="468"/>
      <c r="J17" s="468"/>
      <c r="K17" s="468"/>
      <c r="L17" s="160"/>
      <c r="M17" s="475" t="str">
        <f>+' EQUIPE A 4'!$B$6&amp;" "&amp;' EQUIPE A 4'!$F$6</f>
        <v xml:space="preserve"> </v>
      </c>
      <c r="N17" s="475"/>
      <c r="O17" s="475"/>
      <c r="P17" s="475"/>
      <c r="Q17" s="475"/>
      <c r="R17" s="475"/>
      <c r="S17" s="147" t="s">
        <v>426</v>
      </c>
      <c r="T17" s="468" t="str">
        <f>+' EQUIPE A 4'!$N$6&amp;" "&amp;' EQUIPE A 4'!$R$6</f>
        <v xml:space="preserve"> </v>
      </c>
      <c r="U17" s="468"/>
      <c r="V17" s="468"/>
      <c r="W17" s="468"/>
      <c r="X17" s="160"/>
      <c r="Y17" s="475" t="str">
        <f>+' EQUIPE A 4'!$B$6&amp;" "&amp;' EQUIPE A 4'!$F$6</f>
        <v xml:space="preserve"> </v>
      </c>
      <c r="Z17" s="475"/>
      <c r="AA17" s="475"/>
      <c r="AB17" s="475"/>
      <c r="AC17" s="475"/>
      <c r="AD17" s="475"/>
      <c r="AE17" s="153" t="s">
        <v>426</v>
      </c>
      <c r="AF17" s="468" t="str">
        <f>+' EQUIPE A 4'!$N$6&amp;" "&amp;' EQUIPE A 4'!$R$6</f>
        <v xml:space="preserve"> </v>
      </c>
      <c r="AG17" s="468"/>
      <c r="AH17" s="468"/>
      <c r="AI17" s="468"/>
    </row>
    <row r="18" spans="1:35" ht="21" customHeight="1" thickBot="1" x14ac:dyDescent="0.25">
      <c r="A18" s="134" t="s">
        <v>29</v>
      </c>
      <c r="B18" s="512" t="str">
        <f>+B4</f>
        <v/>
      </c>
      <c r="C18" s="512"/>
      <c r="D18" s="512"/>
      <c r="E18" s="512"/>
      <c r="F18" s="512"/>
      <c r="G18" s="135"/>
      <c r="H18" s="136" t="s">
        <v>407</v>
      </c>
      <c r="I18" s="135"/>
      <c r="J18" s="135"/>
      <c r="K18" s="137"/>
      <c r="L18" s="155"/>
      <c r="M18" s="134" t="s">
        <v>29</v>
      </c>
      <c r="N18" s="512" t="str">
        <f>+B4</f>
        <v/>
      </c>
      <c r="O18" s="512"/>
      <c r="P18" s="512"/>
      <c r="Q18" s="512"/>
      <c r="R18" s="512"/>
      <c r="S18" s="135"/>
      <c r="T18" s="136" t="s">
        <v>407</v>
      </c>
      <c r="U18" s="135"/>
      <c r="V18" s="135"/>
      <c r="W18" s="137"/>
      <c r="X18" s="155"/>
      <c r="Y18" s="134" t="s">
        <v>29</v>
      </c>
      <c r="Z18" s="512" t="str">
        <f>+B4</f>
        <v/>
      </c>
      <c r="AA18" s="512"/>
      <c r="AB18" s="512"/>
      <c r="AC18" s="512">
        <v>43382</v>
      </c>
      <c r="AD18" s="512"/>
      <c r="AE18" s="135"/>
      <c r="AF18" s="136" t="s">
        <v>407</v>
      </c>
      <c r="AG18" s="135"/>
      <c r="AH18" s="135"/>
      <c r="AI18" s="137"/>
    </row>
    <row r="19" spans="1:35" ht="21" customHeight="1" thickTop="1" x14ac:dyDescent="0.2">
      <c r="A19" s="129"/>
      <c r="B19" s="138"/>
      <c r="C19" s="138"/>
      <c r="D19" s="138"/>
      <c r="E19" s="138"/>
      <c r="F19" s="131"/>
      <c r="G19" s="131" t="s">
        <v>1021</v>
      </c>
      <c r="H19" s="131"/>
      <c r="I19" s="131"/>
      <c r="J19" s="131"/>
      <c r="K19" s="139"/>
      <c r="L19" s="155"/>
      <c r="M19" s="129"/>
      <c r="N19" s="138"/>
      <c r="O19" s="138"/>
      <c r="P19" s="138"/>
      <c r="Q19" s="138"/>
      <c r="R19" s="131"/>
      <c r="S19" s="131" t="s">
        <v>1021</v>
      </c>
      <c r="T19" s="131"/>
      <c r="U19" s="131"/>
      <c r="V19" s="131"/>
      <c r="W19" s="139"/>
      <c r="X19" s="155"/>
      <c r="Y19" s="129"/>
      <c r="Z19" s="131"/>
      <c r="AA19" s="131"/>
      <c r="AB19" s="131"/>
      <c r="AC19" s="138"/>
      <c r="AD19" s="131"/>
      <c r="AE19" s="131" t="s">
        <v>1021</v>
      </c>
      <c r="AF19" s="131"/>
      <c r="AG19" s="131"/>
      <c r="AH19" s="131"/>
      <c r="AI19" s="139"/>
    </row>
    <row r="20" spans="1:35" ht="21" customHeight="1" x14ac:dyDescent="0.25">
      <c r="A20" s="156" t="s">
        <v>405</v>
      </c>
      <c r="B20" s="474" t="s">
        <v>431</v>
      </c>
      <c r="C20" s="474"/>
      <c r="D20" s="474"/>
      <c r="E20" s="474"/>
      <c r="F20" s="474"/>
      <c r="G20" s="157" t="s">
        <v>12</v>
      </c>
      <c r="H20" s="157" t="s">
        <v>13</v>
      </c>
      <c r="I20" s="157" t="s">
        <v>14</v>
      </c>
      <c r="J20" s="157" t="s">
        <v>15</v>
      </c>
      <c r="K20" s="157" t="s">
        <v>16</v>
      </c>
      <c r="L20" s="158"/>
      <c r="M20" s="156" t="s">
        <v>405</v>
      </c>
      <c r="N20" s="474" t="s">
        <v>432</v>
      </c>
      <c r="O20" s="474"/>
      <c r="P20" s="474"/>
      <c r="Q20" s="474"/>
      <c r="R20" s="474"/>
      <c r="S20" s="157" t="s">
        <v>12</v>
      </c>
      <c r="T20" s="157" t="s">
        <v>13</v>
      </c>
      <c r="U20" s="157" t="s">
        <v>14</v>
      </c>
      <c r="V20" s="157" t="s">
        <v>15</v>
      </c>
      <c r="W20" s="157" t="s">
        <v>16</v>
      </c>
      <c r="X20" s="158"/>
      <c r="Y20" s="156" t="s">
        <v>405</v>
      </c>
      <c r="Z20" s="474" t="s">
        <v>433</v>
      </c>
      <c r="AA20" s="474"/>
      <c r="AB20" s="474"/>
      <c r="AC20" s="474"/>
      <c r="AD20" s="474"/>
      <c r="AE20" s="157" t="s">
        <v>12</v>
      </c>
      <c r="AF20" s="157" t="s">
        <v>13</v>
      </c>
      <c r="AG20" s="157" t="s">
        <v>14</v>
      </c>
      <c r="AH20" s="157" t="s">
        <v>15</v>
      </c>
      <c r="AI20" s="157" t="s">
        <v>16</v>
      </c>
    </row>
    <row r="21" spans="1:35" ht="24" customHeight="1" x14ac:dyDescent="0.2">
      <c r="A21" s="159" t="str">
        <f>+A7</f>
        <v xml:space="preserve"> </v>
      </c>
      <c r="B21" s="131"/>
      <c r="C21" s="131"/>
      <c r="D21" s="131"/>
      <c r="E21" s="131"/>
      <c r="F21" s="131"/>
      <c r="G21" s="141"/>
      <c r="H21" s="141"/>
      <c r="I21" s="141"/>
      <c r="J21" s="141"/>
      <c r="K21" s="141"/>
      <c r="L21" s="155"/>
      <c r="M21" s="159" t="str">
        <f>' EQUIPE A 4'!C10</f>
        <v xml:space="preserve"> </v>
      </c>
      <c r="N21" s="131"/>
      <c r="O21" s="131"/>
      <c r="P21" s="131"/>
      <c r="Q21" s="131"/>
      <c r="R21" s="131"/>
      <c r="S21" s="141"/>
      <c r="T21" s="141"/>
      <c r="U21" s="141"/>
      <c r="V21" s="141"/>
      <c r="W21" s="141"/>
      <c r="X21" s="155"/>
      <c r="Y21" s="159" t="str">
        <f>+' EQUIPE A 4'!C12</f>
        <v xml:space="preserve"> </v>
      </c>
      <c r="Z21" s="131"/>
      <c r="AA21" s="131"/>
      <c r="AB21" s="131"/>
      <c r="AC21" s="131"/>
      <c r="AD21" s="131"/>
      <c r="AE21" s="141"/>
      <c r="AF21" s="141"/>
      <c r="AG21" s="141"/>
      <c r="AH21" s="141"/>
      <c r="AI21" s="141"/>
    </row>
    <row r="22" spans="1:35" ht="24" customHeight="1" x14ac:dyDescent="0.2">
      <c r="A22" s="163" t="str">
        <f>' EQUIPE A 4'!I10</f>
        <v/>
      </c>
      <c r="B22" s="131"/>
      <c r="C22" s="131"/>
      <c r="D22" s="131"/>
      <c r="E22" s="131"/>
      <c r="F22" s="131"/>
      <c r="G22" s="143"/>
      <c r="H22" s="143"/>
      <c r="I22" s="143"/>
      <c r="J22" s="143"/>
      <c r="K22" s="143"/>
      <c r="L22" s="155"/>
      <c r="M22" s="159" t="str">
        <f>' EQUIPE A 4'!C11</f>
        <v xml:space="preserve"> </v>
      </c>
      <c r="N22" s="131"/>
      <c r="O22" s="131"/>
      <c r="P22" s="131"/>
      <c r="Q22" s="131"/>
      <c r="R22" s="131"/>
      <c r="S22" s="143"/>
      <c r="T22" s="143"/>
      <c r="U22" s="143"/>
      <c r="V22" s="143"/>
      <c r="W22" s="143"/>
      <c r="X22" s="155"/>
      <c r="Y22" s="163" t="str">
        <f>' EQUIPE A 4'!I12</f>
        <v/>
      </c>
      <c r="Z22" s="131"/>
      <c r="AA22" s="131"/>
      <c r="AB22" s="131"/>
      <c r="AC22" s="131"/>
      <c r="AD22" s="131"/>
      <c r="AE22" s="143"/>
      <c r="AF22" s="143"/>
      <c r="AG22" s="143"/>
      <c r="AH22" s="143"/>
      <c r="AI22" s="143"/>
    </row>
    <row r="23" spans="1:35" ht="15.75" customHeight="1" x14ac:dyDescent="0.2">
      <c r="A23" s="142" t="s">
        <v>156</v>
      </c>
      <c r="B23" s="131"/>
      <c r="C23" s="131"/>
      <c r="D23" s="131"/>
      <c r="E23" s="131"/>
      <c r="F23" s="131"/>
      <c r="G23" s="131"/>
      <c r="H23" s="131"/>
      <c r="I23" s="131"/>
      <c r="J23" s="131"/>
      <c r="K23" s="140"/>
      <c r="L23" s="155"/>
      <c r="M23" s="142" t="s">
        <v>156</v>
      </c>
      <c r="N23" s="131"/>
      <c r="O23" s="131"/>
      <c r="P23" s="131"/>
      <c r="Q23" s="131"/>
      <c r="R23" s="131"/>
      <c r="S23" s="131"/>
      <c r="T23" s="131"/>
      <c r="U23" s="131"/>
      <c r="V23" s="131"/>
      <c r="W23" s="140"/>
      <c r="X23" s="155"/>
      <c r="Y23" s="142" t="s">
        <v>156</v>
      </c>
      <c r="Z23" s="130"/>
      <c r="AA23" s="130"/>
      <c r="AB23" s="130"/>
      <c r="AC23" s="131"/>
      <c r="AD23" s="131"/>
      <c r="AE23" s="131"/>
      <c r="AF23" s="131"/>
      <c r="AG23" s="131"/>
      <c r="AH23" s="131"/>
      <c r="AI23" s="140"/>
    </row>
    <row r="24" spans="1:35" ht="24" customHeight="1" x14ac:dyDescent="0.2">
      <c r="A24" s="159" t="str">
        <f>+M10</f>
        <v xml:space="preserve"> </v>
      </c>
      <c r="B24" s="131"/>
      <c r="C24" s="131"/>
      <c r="D24" s="131"/>
      <c r="E24" s="131"/>
      <c r="F24" s="131"/>
      <c r="G24" s="141"/>
      <c r="H24" s="141"/>
      <c r="I24" s="141"/>
      <c r="J24" s="141"/>
      <c r="K24" s="141"/>
      <c r="L24" s="155"/>
      <c r="M24" s="159" t="str">
        <f>' EQUIPE A 4'!Q10</f>
        <v xml:space="preserve"> </v>
      </c>
      <c r="N24" s="131"/>
      <c r="O24" s="131"/>
      <c r="P24" s="131"/>
      <c r="Q24" s="131"/>
      <c r="R24" s="131"/>
      <c r="S24" s="141"/>
      <c r="T24" s="141"/>
      <c r="U24" s="141"/>
      <c r="V24" s="141"/>
      <c r="W24" s="141"/>
      <c r="X24" s="155"/>
      <c r="Y24" s="159" t="str">
        <f>+' EQUIPE A 4'!Q12</f>
        <v xml:space="preserve"> </v>
      </c>
      <c r="Z24" s="131"/>
      <c r="AA24" s="131"/>
      <c r="AB24" s="131"/>
      <c r="AC24" s="131"/>
      <c r="AD24" s="131"/>
      <c r="AE24" s="141"/>
      <c r="AF24" s="141"/>
      <c r="AG24" s="141"/>
      <c r="AH24" s="141"/>
      <c r="AI24" s="141"/>
    </row>
    <row r="25" spans="1:35" ht="24" customHeight="1" x14ac:dyDescent="0.2">
      <c r="A25" s="163" t="str">
        <f>' EQUIPE A 4'!X11</f>
        <v/>
      </c>
      <c r="B25" s="131"/>
      <c r="C25" s="131"/>
      <c r="D25" s="131"/>
      <c r="E25" s="131"/>
      <c r="F25" s="131"/>
      <c r="G25" s="143"/>
      <c r="H25" s="143"/>
      <c r="I25" s="143"/>
      <c r="J25" s="143"/>
      <c r="K25" s="143"/>
      <c r="L25" s="155"/>
      <c r="M25" s="159" t="str">
        <f>' EQUIPE A 4'!Q11</f>
        <v xml:space="preserve"> </v>
      </c>
      <c r="N25" s="131"/>
      <c r="O25" s="131"/>
      <c r="P25" s="131"/>
      <c r="Q25" s="131"/>
      <c r="R25" s="131"/>
      <c r="S25" s="143"/>
      <c r="T25" s="143"/>
      <c r="U25" s="143"/>
      <c r="V25" s="143"/>
      <c r="W25" s="143"/>
      <c r="X25" s="155"/>
      <c r="Y25" s="163" t="str">
        <f>' EQUIPE A 4'!X12</f>
        <v/>
      </c>
      <c r="Z25" s="131"/>
      <c r="AA25" s="131"/>
      <c r="AB25" s="131"/>
      <c r="AC25" s="131"/>
      <c r="AD25" s="131"/>
      <c r="AE25" s="143"/>
      <c r="AF25" s="143"/>
      <c r="AG25" s="143"/>
      <c r="AH25" s="143"/>
      <c r="AI25" s="143"/>
    </row>
    <row r="26" spans="1:35" ht="21" customHeight="1" x14ac:dyDescent="0.2">
      <c r="A26" s="144" t="s">
        <v>406</v>
      </c>
      <c r="B26" s="131" t="s">
        <v>411</v>
      </c>
      <c r="C26" s="131" t="str">
        <f>' EQUIPE A 4'!C11</f>
        <v xml:space="preserve"> </v>
      </c>
      <c r="D26" s="131"/>
      <c r="E26" s="131"/>
      <c r="F26" s="131"/>
      <c r="G26" s="131"/>
      <c r="H26" s="131"/>
      <c r="I26" s="131"/>
      <c r="J26" s="131"/>
      <c r="K26" s="139"/>
      <c r="L26" s="155"/>
      <c r="M26" s="144" t="s">
        <v>406</v>
      </c>
      <c r="N26" s="131"/>
      <c r="O26" s="131"/>
      <c r="P26" s="131"/>
      <c r="Q26" s="131"/>
      <c r="R26" s="131"/>
      <c r="S26" s="131"/>
      <c r="T26" s="131"/>
      <c r="U26" s="131"/>
      <c r="V26" s="131"/>
      <c r="W26" s="139"/>
      <c r="X26" s="155"/>
      <c r="Y26" s="144" t="s">
        <v>406</v>
      </c>
      <c r="Z26" s="130" t="s">
        <v>412</v>
      </c>
      <c r="AA26" s="145" t="str">
        <f>' EQUIPE A 4'!Q13</f>
        <v xml:space="preserve"> </v>
      </c>
      <c r="AB26" s="145"/>
      <c r="AC26" s="131"/>
      <c r="AD26" s="131"/>
      <c r="AE26" s="131"/>
      <c r="AF26" s="131"/>
      <c r="AG26" s="131"/>
      <c r="AH26" s="131"/>
      <c r="AI26" s="139"/>
    </row>
    <row r="27" spans="1:35" ht="21" customHeight="1" x14ac:dyDescent="0.2">
      <c r="A27" s="146"/>
      <c r="B27" s="147"/>
      <c r="C27" s="147"/>
      <c r="D27" s="147"/>
      <c r="E27" s="147"/>
      <c r="F27" s="147"/>
      <c r="G27" s="147"/>
      <c r="H27" s="147"/>
      <c r="I27" s="147"/>
      <c r="J27" s="147"/>
      <c r="K27" s="148"/>
      <c r="L27" s="155"/>
      <c r="M27" s="146"/>
      <c r="N27" s="147"/>
      <c r="O27" s="147"/>
      <c r="P27" s="147"/>
      <c r="Q27" s="147"/>
      <c r="R27" s="147"/>
      <c r="S27" s="147"/>
      <c r="T27" s="147"/>
      <c r="U27" s="147"/>
      <c r="V27" s="147"/>
      <c r="W27" s="148"/>
      <c r="X27" s="155"/>
      <c r="Y27" s="146"/>
      <c r="Z27" s="147"/>
      <c r="AA27" s="147"/>
      <c r="AB27" s="147"/>
      <c r="AC27" s="147"/>
      <c r="AD27" s="147"/>
      <c r="AE27" s="147"/>
      <c r="AF27" s="147"/>
      <c r="AG27" s="147"/>
      <c r="AH27" s="147"/>
      <c r="AI27" s="148"/>
    </row>
    <row r="28" spans="1:35" ht="2" customHeight="1" x14ac:dyDescent="0.2">
      <c r="A28" s="155"/>
      <c r="B28" s="155"/>
      <c r="C28" s="155"/>
      <c r="D28" s="155"/>
      <c r="E28" s="155"/>
      <c r="F28" s="155"/>
      <c r="G28" s="155"/>
      <c r="H28" s="155"/>
      <c r="I28" s="155"/>
      <c r="J28" s="155"/>
      <c r="K28" s="155"/>
      <c r="L28" s="155"/>
      <c r="M28" s="155"/>
      <c r="N28" s="155"/>
      <c r="O28" s="155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5"/>
      <c r="AG28" s="155"/>
      <c r="AH28" s="155"/>
      <c r="AI28" s="155"/>
    </row>
    <row r="29" spans="1:35" ht="21" customHeight="1" x14ac:dyDescent="0.25">
      <c r="A29" s="476" t="str">
        <f>A1</f>
        <v>UFOLEP 77 – Championnat départemental à 4 - 2025 - 2026</v>
      </c>
      <c r="B29" s="476"/>
      <c r="C29" s="476"/>
      <c r="D29" s="476"/>
      <c r="E29" s="476"/>
      <c r="F29" s="476"/>
      <c r="G29" s="476"/>
      <c r="H29" s="476"/>
      <c r="I29" s="476"/>
      <c r="J29" s="476"/>
      <c r="K29" s="476"/>
      <c r="L29" s="151"/>
      <c r="M29" s="476" t="str">
        <f>A1</f>
        <v>UFOLEP 77 – Championnat départemental à 4 - 2025 - 2026</v>
      </c>
      <c r="N29" s="476"/>
      <c r="O29" s="476"/>
      <c r="P29" s="476"/>
      <c r="Q29" s="476"/>
      <c r="R29" s="476"/>
      <c r="S29" s="476"/>
      <c r="T29" s="476"/>
      <c r="U29" s="476"/>
      <c r="V29" s="476"/>
      <c r="W29" s="476"/>
      <c r="X29" s="151"/>
      <c r="Y29" s="476" t="str">
        <f>A1</f>
        <v>UFOLEP 77 – Championnat départemental à 4 - 2025 - 2026</v>
      </c>
      <c r="Z29" s="476"/>
      <c r="AA29" s="476"/>
      <c r="AB29" s="476"/>
      <c r="AC29" s="476"/>
      <c r="AD29" s="476"/>
      <c r="AE29" s="476"/>
      <c r="AF29" s="476"/>
      <c r="AG29" s="476"/>
      <c r="AH29" s="476"/>
      <c r="AI29" s="476"/>
    </row>
    <row r="30" spans="1:35" ht="21" customHeight="1" x14ac:dyDescent="0.2">
      <c r="A30" s="129"/>
      <c r="B30" s="470">
        <f>+' EQUIPE A 4'!$I$3</f>
        <v>0</v>
      </c>
      <c r="C30" s="470"/>
      <c r="D30" s="470"/>
      <c r="E30" s="470"/>
      <c r="F30" s="470"/>
      <c r="G30" s="130" t="s">
        <v>28</v>
      </c>
      <c r="H30" s="133">
        <f>+' EQUIPE A 4'!$N$3</f>
        <v>0</v>
      </c>
      <c r="I30" s="131" t="s">
        <v>427</v>
      </c>
      <c r="J30" s="131"/>
      <c r="K30" s="132">
        <f>+' EQUIPE A 4'!$R$3</f>
        <v>0</v>
      </c>
      <c r="L30" s="152"/>
      <c r="M30" s="129"/>
      <c r="N30" s="470">
        <f>+' EQUIPE A 4'!$I$3</f>
        <v>0</v>
      </c>
      <c r="O30" s="470"/>
      <c r="P30" s="470"/>
      <c r="Q30" s="470"/>
      <c r="R30" s="470"/>
      <c r="S30" s="130" t="s">
        <v>28</v>
      </c>
      <c r="T30" s="133">
        <f>+' EQUIPE A 4'!$N$3</f>
        <v>0</v>
      </c>
      <c r="U30" s="131" t="s">
        <v>427</v>
      </c>
      <c r="V30" s="131"/>
      <c r="W30" s="132">
        <f>+' EQUIPE A 4'!$R$3</f>
        <v>0</v>
      </c>
      <c r="X30" s="152"/>
      <c r="Y30" s="129"/>
      <c r="Z30" s="131"/>
      <c r="AA30" s="131"/>
      <c r="AB30" s="131"/>
      <c r="AC30" s="470">
        <f>+' EQUIPE A 4'!$I$3</f>
        <v>0</v>
      </c>
      <c r="AD30" s="470"/>
      <c r="AE30" s="130" t="s">
        <v>28</v>
      </c>
      <c r="AF30" s="133">
        <f>+' EQUIPE A 4'!$N$3</f>
        <v>0</v>
      </c>
      <c r="AG30" s="131" t="s">
        <v>427</v>
      </c>
      <c r="AH30" s="131"/>
      <c r="AI30" s="132">
        <f>+' EQUIPE A 4'!$R$3</f>
        <v>0</v>
      </c>
    </row>
    <row r="31" spans="1:35" ht="21" customHeight="1" x14ac:dyDescent="0.2">
      <c r="A31" s="475" t="str">
        <f>+' EQUIPE A 4'!$B$6&amp;" "&amp;' EQUIPE A 4'!$F$6</f>
        <v xml:space="preserve"> </v>
      </c>
      <c r="B31" s="475"/>
      <c r="C31" s="475"/>
      <c r="D31" s="475"/>
      <c r="E31" s="475"/>
      <c r="F31" s="475"/>
      <c r="G31" s="153" t="s">
        <v>426</v>
      </c>
      <c r="H31" s="468" t="str">
        <f>+' EQUIPE A 4'!$N$6&amp;" "&amp;' EQUIPE A 4'!$R$6</f>
        <v xml:space="preserve"> </v>
      </c>
      <c r="I31" s="468"/>
      <c r="J31" s="468"/>
      <c r="K31" s="468"/>
      <c r="L31" s="160"/>
      <c r="M31" s="475" t="str">
        <f>+' EQUIPE A 4'!$B$6&amp;" "&amp;' EQUIPE A 4'!$F$6</f>
        <v xml:space="preserve"> </v>
      </c>
      <c r="N31" s="475"/>
      <c r="O31" s="475"/>
      <c r="P31" s="475"/>
      <c r="Q31" s="475"/>
      <c r="R31" s="475"/>
      <c r="S31" s="147" t="s">
        <v>426</v>
      </c>
      <c r="T31" s="468" t="str">
        <f>+' EQUIPE A 4'!$N$6&amp;" "&amp;' EQUIPE A 4'!$R$6</f>
        <v xml:space="preserve"> </v>
      </c>
      <c r="U31" s="468"/>
      <c r="V31" s="468"/>
      <c r="W31" s="468"/>
      <c r="X31" s="160"/>
      <c r="Y31" s="475" t="str">
        <f>+' EQUIPE A 4'!$B$6&amp;" "&amp;' EQUIPE A 4'!$F$6</f>
        <v xml:space="preserve"> </v>
      </c>
      <c r="Z31" s="475"/>
      <c r="AA31" s="475"/>
      <c r="AB31" s="475"/>
      <c r="AC31" s="475"/>
      <c r="AD31" s="475"/>
      <c r="AE31" s="153" t="s">
        <v>426</v>
      </c>
      <c r="AF31" s="468" t="str">
        <f>+' EQUIPE A 4'!$N$6&amp;" "&amp;' EQUIPE A 4'!$R$6</f>
        <v xml:space="preserve"> </v>
      </c>
      <c r="AG31" s="468"/>
      <c r="AH31" s="468"/>
      <c r="AI31" s="468"/>
    </row>
    <row r="32" spans="1:35" ht="21" customHeight="1" thickBot="1" x14ac:dyDescent="0.25">
      <c r="A32" s="134" t="s">
        <v>29</v>
      </c>
      <c r="B32" s="512" t="str">
        <f>+B4</f>
        <v/>
      </c>
      <c r="C32" s="512"/>
      <c r="D32" s="512"/>
      <c r="E32" s="512"/>
      <c r="F32" s="512"/>
      <c r="G32" s="135"/>
      <c r="H32" s="136" t="s">
        <v>407</v>
      </c>
      <c r="I32" s="135"/>
      <c r="J32" s="135"/>
      <c r="K32" s="137"/>
      <c r="L32" s="155"/>
      <c r="M32" s="134" t="s">
        <v>29</v>
      </c>
      <c r="N32" s="512" t="str">
        <f>+B4</f>
        <v/>
      </c>
      <c r="O32" s="512"/>
      <c r="P32" s="512"/>
      <c r="Q32" s="512"/>
      <c r="R32" s="512"/>
      <c r="S32" s="135"/>
      <c r="T32" s="136" t="s">
        <v>407</v>
      </c>
      <c r="U32" s="135"/>
      <c r="V32" s="135"/>
      <c r="W32" s="137"/>
      <c r="X32" s="155"/>
      <c r="Y32" s="134" t="s">
        <v>29</v>
      </c>
      <c r="Z32" s="512" t="str">
        <f>+B4</f>
        <v/>
      </c>
      <c r="AA32" s="512"/>
      <c r="AB32" s="512"/>
      <c r="AC32" s="512">
        <v>43382</v>
      </c>
      <c r="AD32" s="512"/>
      <c r="AE32" s="135"/>
      <c r="AF32" s="136" t="s">
        <v>407</v>
      </c>
      <c r="AG32" s="135"/>
      <c r="AH32" s="135"/>
      <c r="AI32" s="137"/>
    </row>
    <row r="33" spans="1:35" ht="21" customHeight="1" thickTop="1" x14ac:dyDescent="0.2">
      <c r="A33" s="129"/>
      <c r="B33" s="138"/>
      <c r="C33" s="138"/>
      <c r="D33" s="138"/>
      <c r="E33" s="138"/>
      <c r="F33" s="131"/>
      <c r="G33" s="131" t="s">
        <v>1021</v>
      </c>
      <c r="H33" s="131"/>
      <c r="I33" s="131"/>
      <c r="J33" s="131"/>
      <c r="K33" s="139"/>
      <c r="L33" s="155"/>
      <c r="M33" s="129"/>
      <c r="N33" s="138"/>
      <c r="O33" s="138"/>
      <c r="P33" s="138"/>
      <c r="Q33" s="138"/>
      <c r="R33" s="131"/>
      <c r="S33" s="131" t="s">
        <v>1021</v>
      </c>
      <c r="T33" s="131"/>
      <c r="U33" s="131"/>
      <c r="V33" s="131"/>
      <c r="W33" s="139"/>
      <c r="X33" s="155"/>
      <c r="Y33" s="129"/>
      <c r="Z33" s="131"/>
      <c r="AA33" s="131"/>
      <c r="AB33" s="131"/>
      <c r="AC33" s="138"/>
      <c r="AD33" s="131"/>
      <c r="AE33" s="131" t="s">
        <v>1021</v>
      </c>
      <c r="AF33" s="131"/>
      <c r="AG33" s="131"/>
      <c r="AH33" s="131"/>
      <c r="AI33" s="139"/>
    </row>
    <row r="34" spans="1:35" ht="21" customHeight="1" x14ac:dyDescent="0.25">
      <c r="A34" s="156" t="s">
        <v>405</v>
      </c>
      <c r="B34" s="474" t="s">
        <v>434</v>
      </c>
      <c r="C34" s="474"/>
      <c r="D34" s="474"/>
      <c r="E34" s="474"/>
      <c r="F34" s="474"/>
      <c r="G34" s="157" t="s">
        <v>12</v>
      </c>
      <c r="H34" s="157" t="s">
        <v>13</v>
      </c>
      <c r="I34" s="157" t="s">
        <v>14</v>
      </c>
      <c r="J34" s="157" t="s">
        <v>15</v>
      </c>
      <c r="K34" s="157" t="s">
        <v>16</v>
      </c>
      <c r="L34" s="158"/>
      <c r="M34" s="156" t="s">
        <v>405</v>
      </c>
      <c r="N34" s="474" t="s">
        <v>435</v>
      </c>
      <c r="O34" s="474"/>
      <c r="P34" s="474"/>
      <c r="Q34" s="474"/>
      <c r="R34" s="474"/>
      <c r="S34" s="157" t="s">
        <v>12</v>
      </c>
      <c r="T34" s="157" t="s">
        <v>13</v>
      </c>
      <c r="U34" s="157" t="s">
        <v>14</v>
      </c>
      <c r="V34" s="157" t="s">
        <v>15</v>
      </c>
      <c r="W34" s="157" t="s">
        <v>16</v>
      </c>
      <c r="X34" s="158"/>
      <c r="Y34" s="156" t="s">
        <v>405</v>
      </c>
      <c r="Z34" s="474" t="s">
        <v>436</v>
      </c>
      <c r="AA34" s="474"/>
      <c r="AB34" s="474"/>
      <c r="AC34" s="474"/>
      <c r="AD34" s="474"/>
      <c r="AE34" s="157" t="s">
        <v>12</v>
      </c>
      <c r="AF34" s="157" t="s">
        <v>13</v>
      </c>
      <c r="AG34" s="157" t="s">
        <v>14</v>
      </c>
      <c r="AH34" s="157" t="s">
        <v>15</v>
      </c>
      <c r="AI34" s="157" t="s">
        <v>16</v>
      </c>
    </row>
    <row r="35" spans="1:35" ht="24" customHeight="1" x14ac:dyDescent="0.2">
      <c r="A35" s="159" t="str">
        <f>+' EQUIPE A 4'!C13</f>
        <v xml:space="preserve"> </v>
      </c>
      <c r="B35" s="131"/>
      <c r="C35" s="131"/>
      <c r="D35" s="131"/>
      <c r="E35" s="131"/>
      <c r="F35" s="131"/>
      <c r="G35" s="141"/>
      <c r="H35" s="141"/>
      <c r="I35" s="141"/>
      <c r="J35" s="141"/>
      <c r="K35" s="141"/>
      <c r="L35" s="155"/>
      <c r="M35" s="159" t="str">
        <f>' EQUIPE A 4'!C12</f>
        <v xml:space="preserve"> </v>
      </c>
      <c r="N35" s="131"/>
      <c r="O35" s="131"/>
      <c r="P35" s="131"/>
      <c r="Q35" s="131"/>
      <c r="R35" s="131"/>
      <c r="S35" s="141"/>
      <c r="T35" s="141"/>
      <c r="U35" s="141"/>
      <c r="V35" s="141"/>
      <c r="W35" s="141"/>
      <c r="X35" s="155"/>
      <c r="Y35" s="159" t="str">
        <f>+A35</f>
        <v xml:space="preserve"> </v>
      </c>
      <c r="Z35" s="131"/>
      <c r="AA35" s="131"/>
      <c r="AB35" s="131"/>
      <c r="AC35" s="131"/>
      <c r="AD35" s="131"/>
      <c r="AE35" s="141"/>
      <c r="AF35" s="141"/>
      <c r="AG35" s="141"/>
      <c r="AH35" s="141"/>
      <c r="AI35" s="141"/>
    </row>
    <row r="36" spans="1:35" ht="18" customHeight="1" x14ac:dyDescent="0.2">
      <c r="A36" s="163" t="str">
        <f>' EQUIPE A 4'!I13</f>
        <v/>
      </c>
      <c r="B36" s="131"/>
      <c r="C36" s="131"/>
      <c r="D36" s="131"/>
      <c r="E36" s="131"/>
      <c r="F36" s="131"/>
      <c r="G36" s="143"/>
      <c r="H36" s="143"/>
      <c r="I36" s="143"/>
      <c r="J36" s="143"/>
      <c r="K36" s="143"/>
      <c r="L36" s="155"/>
      <c r="M36" s="159" t="str">
        <f>' EQUIPE A 4'!C13</f>
        <v xml:space="preserve"> </v>
      </c>
      <c r="N36" s="131"/>
      <c r="O36" s="131"/>
      <c r="P36" s="131"/>
      <c r="Q36" s="131"/>
      <c r="R36" s="131"/>
      <c r="S36" s="143"/>
      <c r="T36" s="143"/>
      <c r="U36" s="143"/>
      <c r="V36" s="143"/>
      <c r="W36" s="143"/>
      <c r="X36" s="155"/>
      <c r="Y36" s="163" t="str">
        <f>' EQUIPE A 4'!I13</f>
        <v/>
      </c>
      <c r="Z36" s="131"/>
      <c r="AA36" s="131"/>
      <c r="AB36" s="131"/>
      <c r="AC36" s="131"/>
      <c r="AD36" s="131"/>
      <c r="AE36" s="143"/>
      <c r="AF36" s="143"/>
      <c r="AG36" s="143"/>
      <c r="AH36" s="143"/>
      <c r="AI36" s="143"/>
    </row>
    <row r="37" spans="1:35" ht="15.75" customHeight="1" x14ac:dyDescent="0.2">
      <c r="A37" s="142" t="s">
        <v>156</v>
      </c>
      <c r="B37" s="131"/>
      <c r="C37" s="131"/>
      <c r="D37" s="131"/>
      <c r="E37" s="131"/>
      <c r="F37" s="131"/>
      <c r="G37" s="131"/>
      <c r="H37" s="131"/>
      <c r="I37" s="131"/>
      <c r="J37" s="131"/>
      <c r="K37" s="140"/>
      <c r="L37" s="155"/>
      <c r="M37" s="142" t="s">
        <v>156</v>
      </c>
      <c r="N37" s="131"/>
      <c r="O37" s="131"/>
      <c r="P37" s="131"/>
      <c r="Q37" s="131"/>
      <c r="R37" s="131"/>
      <c r="S37" s="131"/>
      <c r="T37" s="131"/>
      <c r="U37" s="131"/>
      <c r="V37" s="131"/>
      <c r="W37" s="140"/>
      <c r="X37" s="155"/>
      <c r="Y37" s="142" t="s">
        <v>156</v>
      </c>
      <c r="Z37" s="130"/>
      <c r="AA37" s="130"/>
      <c r="AB37" s="130"/>
      <c r="AC37" s="131"/>
      <c r="AD37" s="131"/>
      <c r="AE37" s="131"/>
      <c r="AF37" s="131"/>
      <c r="AG37" s="131"/>
      <c r="AH37" s="131"/>
      <c r="AI37" s="140"/>
    </row>
    <row r="38" spans="1:35" ht="24" customHeight="1" x14ac:dyDescent="0.2">
      <c r="A38" s="159" t="str">
        <f>+' EQUIPE A 4'!Q13</f>
        <v xml:space="preserve"> </v>
      </c>
      <c r="B38" s="131"/>
      <c r="C38" s="131"/>
      <c r="D38" s="131"/>
      <c r="E38" s="131"/>
      <c r="F38" s="131"/>
      <c r="G38" s="141"/>
      <c r="H38" s="141"/>
      <c r="I38" s="141"/>
      <c r="J38" s="141"/>
      <c r="K38" s="141"/>
      <c r="L38" s="155"/>
      <c r="M38" s="159" t="str">
        <f>' EQUIPE A 4'!Q12</f>
        <v xml:space="preserve"> </v>
      </c>
      <c r="N38" s="131"/>
      <c r="O38" s="131"/>
      <c r="P38" s="131"/>
      <c r="Q38" s="131"/>
      <c r="R38" s="131"/>
      <c r="S38" s="141"/>
      <c r="T38" s="141"/>
      <c r="U38" s="141"/>
      <c r="V38" s="141"/>
      <c r="W38" s="141"/>
      <c r="X38" s="155"/>
      <c r="Y38" s="159" t="str">
        <f>+Y24</f>
        <v xml:space="preserve"> </v>
      </c>
      <c r="Z38" s="150"/>
      <c r="AA38" s="131"/>
      <c r="AB38" s="131"/>
      <c r="AC38" s="131"/>
      <c r="AD38" s="131"/>
      <c r="AE38" s="141"/>
      <c r="AF38" s="141"/>
      <c r="AG38" s="141"/>
      <c r="AH38" s="141"/>
      <c r="AI38" s="141"/>
    </row>
    <row r="39" spans="1:35" ht="18" customHeight="1" x14ac:dyDescent="0.2">
      <c r="A39" s="163" t="str">
        <f>' EQUIPE A 4'!X13</f>
        <v/>
      </c>
      <c r="B39" s="131"/>
      <c r="C39" s="131"/>
      <c r="D39" s="131"/>
      <c r="E39" s="131"/>
      <c r="F39" s="131"/>
      <c r="G39" s="143"/>
      <c r="H39" s="143"/>
      <c r="I39" s="143"/>
      <c r="J39" s="143"/>
      <c r="K39" s="143"/>
      <c r="L39" s="155"/>
      <c r="M39" s="159" t="str">
        <f>' EQUIPE A 4'!Q13</f>
        <v xml:space="preserve"> </v>
      </c>
      <c r="N39" s="131"/>
      <c r="O39" s="131"/>
      <c r="P39" s="131"/>
      <c r="Q39" s="131"/>
      <c r="R39" s="131"/>
      <c r="S39" s="143"/>
      <c r="T39" s="143"/>
      <c r="U39" s="143"/>
      <c r="V39" s="143"/>
      <c r="W39" s="143"/>
      <c r="X39" s="155"/>
      <c r="Y39" s="163" t="str">
        <f>' EQUIPE A 4'!X12</f>
        <v/>
      </c>
      <c r="Z39" s="131"/>
      <c r="AA39" s="131"/>
      <c r="AB39" s="131"/>
      <c r="AC39" s="131"/>
      <c r="AD39" s="131"/>
      <c r="AE39" s="143"/>
      <c r="AF39" s="143"/>
      <c r="AG39" s="143"/>
      <c r="AH39" s="143"/>
      <c r="AI39" s="143"/>
    </row>
    <row r="40" spans="1:35" ht="21" customHeight="1" x14ac:dyDescent="0.2">
      <c r="A40" s="144" t="s">
        <v>406</v>
      </c>
      <c r="B40" s="131" t="s">
        <v>413</v>
      </c>
      <c r="C40" s="131" t="str">
        <f>' EQUIPE A 4'!Q12</f>
        <v xml:space="preserve"> </v>
      </c>
      <c r="D40" s="131"/>
      <c r="E40" s="131"/>
      <c r="F40" s="131"/>
      <c r="G40" s="131"/>
      <c r="H40" s="131"/>
      <c r="I40" s="131"/>
      <c r="J40" s="131"/>
      <c r="K40" s="139"/>
      <c r="L40" s="155"/>
      <c r="M40" s="144" t="s">
        <v>406</v>
      </c>
      <c r="N40" s="131"/>
      <c r="O40" s="131"/>
      <c r="P40" s="131"/>
      <c r="Q40" s="131"/>
      <c r="R40" s="131"/>
      <c r="S40" s="131"/>
      <c r="T40" s="131"/>
      <c r="U40" s="131"/>
      <c r="V40" s="131"/>
      <c r="W40" s="139"/>
      <c r="X40" s="155"/>
      <c r="Y40" s="144" t="s">
        <v>406</v>
      </c>
      <c r="Z40" s="145" t="s">
        <v>414</v>
      </c>
      <c r="AA40" s="145" t="str">
        <f>' EQUIPE A 4'!C12</f>
        <v xml:space="preserve"> </v>
      </c>
      <c r="AB40" s="145"/>
      <c r="AC40" s="131"/>
      <c r="AD40" s="131"/>
      <c r="AE40" s="131"/>
      <c r="AF40" s="131"/>
      <c r="AG40" s="131"/>
      <c r="AH40" s="131"/>
      <c r="AI40" s="139"/>
    </row>
    <row r="41" spans="1:35" ht="21" customHeight="1" x14ac:dyDescent="0.2">
      <c r="A41" s="146"/>
      <c r="B41" s="147"/>
      <c r="C41" s="147"/>
      <c r="D41" s="147"/>
      <c r="E41" s="147"/>
      <c r="F41" s="147"/>
      <c r="G41" s="147"/>
      <c r="H41" s="147"/>
      <c r="I41" s="147"/>
      <c r="J41" s="147"/>
      <c r="K41" s="148"/>
      <c r="L41" s="155"/>
      <c r="M41" s="146"/>
      <c r="N41" s="147"/>
      <c r="O41" s="147"/>
      <c r="P41" s="147"/>
      <c r="Q41" s="147"/>
      <c r="R41" s="147"/>
      <c r="S41" s="147"/>
      <c r="T41" s="147"/>
      <c r="U41" s="147"/>
      <c r="V41" s="147"/>
      <c r="W41" s="148"/>
      <c r="X41" s="155"/>
      <c r="Y41" s="146"/>
      <c r="Z41" s="147"/>
      <c r="AA41" s="147"/>
      <c r="AB41" s="147"/>
      <c r="AC41" s="147"/>
      <c r="AD41" s="147"/>
      <c r="AE41" s="147"/>
      <c r="AF41" s="147"/>
      <c r="AG41" s="147"/>
      <c r="AH41" s="147"/>
      <c r="AI41" s="148"/>
    </row>
    <row r="42" spans="1:35" ht="2" customHeight="1" x14ac:dyDescent="0.2">
      <c r="A42" s="155"/>
      <c r="B42" s="155"/>
      <c r="C42" s="155"/>
      <c r="D42" s="155"/>
      <c r="E42" s="155"/>
      <c r="F42" s="155"/>
      <c r="G42" s="155"/>
      <c r="H42" s="155"/>
      <c r="I42" s="155"/>
      <c r="J42" s="155"/>
      <c r="K42" s="155"/>
      <c r="L42" s="155"/>
      <c r="M42" s="155"/>
      <c r="N42" s="155"/>
      <c r="O42" s="155"/>
      <c r="P42" s="155"/>
      <c r="Q42" s="155"/>
      <c r="R42" s="155"/>
      <c r="S42" s="155"/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  <c r="AF42" s="155"/>
      <c r="AG42" s="155"/>
      <c r="AH42" s="155"/>
      <c r="AI42" s="155"/>
    </row>
    <row r="43" spans="1:35" ht="21" customHeight="1" x14ac:dyDescent="0.25">
      <c r="A43" s="476" t="str">
        <f>A1</f>
        <v>UFOLEP 77 – Championnat départemental à 4 - 2025 - 2026</v>
      </c>
      <c r="B43" s="476"/>
      <c r="C43" s="476"/>
      <c r="D43" s="476"/>
      <c r="E43" s="476"/>
      <c r="F43" s="476"/>
      <c r="G43" s="476"/>
      <c r="H43" s="476"/>
      <c r="I43" s="476"/>
      <c r="J43" s="476"/>
      <c r="K43" s="476"/>
      <c r="L43" s="151"/>
      <c r="M43" s="469" t="s">
        <v>437</v>
      </c>
      <c r="N43" s="469"/>
      <c r="O43" s="469"/>
      <c r="P43" s="469"/>
      <c r="Q43" s="469"/>
      <c r="R43" s="469"/>
      <c r="S43" s="469"/>
      <c r="T43" s="469"/>
      <c r="U43" s="469"/>
      <c r="V43" s="469"/>
      <c r="W43" s="469"/>
      <c r="X43" s="151"/>
      <c r="Y43" s="469" t="s">
        <v>437</v>
      </c>
      <c r="Z43" s="469"/>
      <c r="AA43" s="469"/>
      <c r="AB43" s="469"/>
      <c r="AC43" s="469"/>
      <c r="AD43" s="469"/>
      <c r="AE43" s="469"/>
      <c r="AF43" s="469"/>
      <c r="AG43" s="469"/>
      <c r="AH43" s="469"/>
      <c r="AI43" s="469"/>
    </row>
    <row r="44" spans="1:35" ht="21" customHeight="1" x14ac:dyDescent="0.2">
      <c r="A44" s="129"/>
      <c r="B44" s="470">
        <f>+' EQUIPE A 4'!$I$3</f>
        <v>0</v>
      </c>
      <c r="C44" s="470"/>
      <c r="D44" s="470"/>
      <c r="E44" s="470"/>
      <c r="F44" s="470"/>
      <c r="G44" s="130" t="s">
        <v>28</v>
      </c>
      <c r="H44" s="133">
        <f>+' EQUIPE A 4'!$N$3</f>
        <v>0</v>
      </c>
      <c r="I44" s="131" t="s">
        <v>427</v>
      </c>
      <c r="J44" s="131"/>
      <c r="K44" s="132">
        <f>+' EQUIPE A 4'!$R$3</f>
        <v>0</v>
      </c>
      <c r="L44" s="152"/>
      <c r="M44" s="129"/>
      <c r="N44" s="470" t="s">
        <v>437</v>
      </c>
      <c r="O44" s="470"/>
      <c r="P44" s="470"/>
      <c r="Q44" s="470"/>
      <c r="R44" s="470"/>
      <c r="S44" s="130" t="s">
        <v>28</v>
      </c>
      <c r="T44" s="133" t="s">
        <v>437</v>
      </c>
      <c r="U44" s="131" t="s">
        <v>427</v>
      </c>
      <c r="V44" s="131"/>
      <c r="W44" s="132" t="s">
        <v>437</v>
      </c>
      <c r="X44" s="152"/>
      <c r="Y44" s="129"/>
      <c r="Z44" s="131"/>
      <c r="AA44" s="131"/>
      <c r="AB44" s="131"/>
      <c r="AC44" s="470"/>
      <c r="AD44" s="470"/>
      <c r="AE44" s="130" t="s">
        <v>28</v>
      </c>
      <c r="AF44" s="133"/>
      <c r="AG44" s="131" t="s">
        <v>427</v>
      </c>
      <c r="AH44" s="131"/>
      <c r="AI44" s="132"/>
    </row>
    <row r="45" spans="1:35" ht="21" customHeight="1" x14ac:dyDescent="0.2">
      <c r="A45" s="475" t="str">
        <f>+' EQUIPE A 4'!$B$6&amp;" "&amp;' EQUIPE A 4'!$F$6</f>
        <v xml:space="preserve"> </v>
      </c>
      <c r="B45" s="475"/>
      <c r="C45" s="475"/>
      <c r="D45" s="475"/>
      <c r="E45" s="475"/>
      <c r="F45" s="475"/>
      <c r="G45" s="153" t="s">
        <v>426</v>
      </c>
      <c r="H45" s="468" t="str">
        <f>+' EQUIPE A 4'!$N$6&amp;" "&amp;' EQUIPE A 4'!$R$6</f>
        <v xml:space="preserve"> </v>
      </c>
      <c r="I45" s="468"/>
      <c r="J45" s="468"/>
      <c r="K45" s="468"/>
      <c r="L45" s="160"/>
      <c r="M45" s="475" t="s">
        <v>437</v>
      </c>
      <c r="N45" s="475"/>
      <c r="O45" s="475"/>
      <c r="P45" s="475"/>
      <c r="Q45" s="475"/>
      <c r="R45" s="475"/>
      <c r="S45" s="147" t="s">
        <v>426</v>
      </c>
      <c r="T45" s="468" t="s">
        <v>437</v>
      </c>
      <c r="U45" s="468"/>
      <c r="V45" s="468"/>
      <c r="W45" s="468"/>
      <c r="X45" s="160"/>
      <c r="Y45" s="475" t="s">
        <v>437</v>
      </c>
      <c r="Z45" s="475"/>
      <c r="AA45" s="475"/>
      <c r="AB45" s="475"/>
      <c r="AC45" s="475"/>
      <c r="AD45" s="475"/>
      <c r="AE45" s="153" t="s">
        <v>426</v>
      </c>
      <c r="AF45" s="468" t="s">
        <v>437</v>
      </c>
      <c r="AG45" s="468"/>
      <c r="AH45" s="468"/>
      <c r="AI45" s="468"/>
    </row>
    <row r="46" spans="1:35" ht="21" customHeight="1" thickBot="1" x14ac:dyDescent="0.25">
      <c r="A46" s="134" t="s">
        <v>29</v>
      </c>
      <c r="B46" s="512" t="str">
        <f>+B4</f>
        <v/>
      </c>
      <c r="C46" s="512"/>
      <c r="D46" s="512"/>
      <c r="E46" s="512"/>
      <c r="F46" s="512"/>
      <c r="G46" s="135"/>
      <c r="H46" s="136" t="s">
        <v>407</v>
      </c>
      <c r="I46" s="135"/>
      <c r="J46" s="135"/>
      <c r="K46" s="137"/>
      <c r="L46" s="155"/>
      <c r="M46" s="134" t="s">
        <v>29</v>
      </c>
      <c r="N46" s="472" t="s">
        <v>437</v>
      </c>
      <c r="O46" s="472"/>
      <c r="P46" s="472"/>
      <c r="Q46" s="472"/>
      <c r="R46" s="472"/>
      <c r="S46" s="135"/>
      <c r="T46" s="136" t="s">
        <v>407</v>
      </c>
      <c r="U46" s="135"/>
      <c r="V46" s="135"/>
      <c r="W46" s="137"/>
      <c r="X46" s="155"/>
      <c r="Y46" s="134" t="s">
        <v>29</v>
      </c>
      <c r="Z46" s="472" t="s">
        <v>437</v>
      </c>
      <c r="AA46" s="472"/>
      <c r="AB46" s="472"/>
      <c r="AC46" s="472"/>
      <c r="AD46" s="472"/>
      <c r="AE46" s="135"/>
      <c r="AF46" s="136" t="s">
        <v>407</v>
      </c>
      <c r="AG46" s="135"/>
      <c r="AH46" s="135"/>
      <c r="AI46" s="137"/>
    </row>
    <row r="47" spans="1:35" ht="21" customHeight="1" thickTop="1" x14ac:dyDescent="0.2">
      <c r="A47" s="129"/>
      <c r="B47" s="138"/>
      <c r="C47" s="138"/>
      <c r="D47" s="138"/>
      <c r="E47" s="138"/>
      <c r="F47" s="131"/>
      <c r="G47" s="131" t="s">
        <v>1021</v>
      </c>
      <c r="H47" s="131"/>
      <c r="I47" s="131"/>
      <c r="J47" s="131"/>
      <c r="K47" s="139"/>
      <c r="L47" s="155"/>
      <c r="M47" s="129"/>
      <c r="N47" s="138"/>
      <c r="O47" s="138"/>
      <c r="P47" s="138"/>
      <c r="Q47" s="138"/>
      <c r="R47" s="131"/>
      <c r="S47" s="131" t="s">
        <v>1021</v>
      </c>
      <c r="T47" s="131"/>
      <c r="U47" s="131"/>
      <c r="V47" s="131"/>
      <c r="W47" s="139"/>
      <c r="X47" s="155"/>
      <c r="Y47" s="129"/>
      <c r="Z47" s="131"/>
      <c r="AA47" s="131"/>
      <c r="AB47" s="131"/>
      <c r="AC47" s="138"/>
      <c r="AD47" s="131"/>
      <c r="AE47" s="131" t="s">
        <v>1021</v>
      </c>
      <c r="AF47" s="131"/>
      <c r="AG47" s="131"/>
      <c r="AH47" s="131"/>
      <c r="AI47" s="139"/>
    </row>
    <row r="48" spans="1:35" ht="21" customHeight="1" x14ac:dyDescent="0.25">
      <c r="A48" s="156" t="s">
        <v>405</v>
      </c>
      <c r="B48" s="474" t="s">
        <v>438</v>
      </c>
      <c r="C48" s="474"/>
      <c r="D48" s="474"/>
      <c r="E48" s="474"/>
      <c r="F48" s="474"/>
      <c r="G48" s="157" t="s">
        <v>12</v>
      </c>
      <c r="H48" s="157" t="s">
        <v>13</v>
      </c>
      <c r="I48" s="157" t="s">
        <v>14</v>
      </c>
      <c r="J48" s="157" t="s">
        <v>15</v>
      </c>
      <c r="K48" s="157" t="s">
        <v>16</v>
      </c>
      <c r="L48" s="158"/>
      <c r="M48" s="156" t="s">
        <v>405</v>
      </c>
      <c r="N48" s="474"/>
      <c r="O48" s="474"/>
      <c r="P48" s="474"/>
      <c r="Q48" s="474"/>
      <c r="R48" s="474"/>
      <c r="S48" s="157" t="s">
        <v>12</v>
      </c>
      <c r="T48" s="157" t="s">
        <v>13</v>
      </c>
      <c r="U48" s="157" t="s">
        <v>14</v>
      </c>
      <c r="V48" s="157" t="s">
        <v>15</v>
      </c>
      <c r="W48" s="157" t="s">
        <v>16</v>
      </c>
      <c r="X48" s="158"/>
      <c r="Y48" s="156" t="s">
        <v>405</v>
      </c>
      <c r="Z48" s="474"/>
      <c r="AA48" s="474"/>
      <c r="AB48" s="474"/>
      <c r="AC48" s="474"/>
      <c r="AD48" s="474"/>
      <c r="AE48" s="157" t="s">
        <v>12</v>
      </c>
      <c r="AF48" s="157" t="s">
        <v>13</v>
      </c>
      <c r="AG48" s="157" t="s">
        <v>14</v>
      </c>
      <c r="AH48" s="157" t="s">
        <v>15</v>
      </c>
      <c r="AI48" s="157" t="s">
        <v>16</v>
      </c>
    </row>
    <row r="49" spans="1:35" ht="24" customHeight="1" x14ac:dyDescent="0.2">
      <c r="A49" s="159" t="str">
        <f>+Y21</f>
        <v xml:space="preserve"> </v>
      </c>
      <c r="B49" s="131"/>
      <c r="C49" s="131"/>
      <c r="D49" s="131"/>
      <c r="E49" s="131"/>
      <c r="F49" s="131"/>
      <c r="G49" s="141"/>
      <c r="H49" s="141"/>
      <c r="I49" s="141"/>
      <c r="J49" s="141"/>
      <c r="K49" s="141"/>
      <c r="L49" s="155"/>
      <c r="M49" s="129"/>
      <c r="N49" s="131"/>
      <c r="O49" s="131"/>
      <c r="P49" s="131"/>
      <c r="Q49" s="131"/>
      <c r="R49" s="131"/>
      <c r="S49" s="141"/>
      <c r="T49" s="141"/>
      <c r="U49" s="141"/>
      <c r="V49" s="141"/>
      <c r="W49" s="141"/>
      <c r="X49" s="155"/>
      <c r="Y49" s="129"/>
      <c r="Z49" s="131"/>
      <c r="AA49" s="131"/>
      <c r="AB49" s="131"/>
      <c r="AC49" s="131"/>
      <c r="AD49" s="131"/>
      <c r="AE49" s="141"/>
      <c r="AF49" s="141"/>
      <c r="AG49" s="141"/>
      <c r="AH49" s="141"/>
      <c r="AI49" s="141"/>
    </row>
    <row r="50" spans="1:35" ht="24" customHeight="1" x14ac:dyDescent="0.2">
      <c r="A50" s="163" t="str">
        <f>' EQUIPE A 4'!I12</f>
        <v/>
      </c>
      <c r="B50" s="131"/>
      <c r="C50" s="131"/>
      <c r="D50" s="131"/>
      <c r="E50" s="131"/>
      <c r="F50" s="131"/>
      <c r="G50" s="143"/>
      <c r="H50" s="143"/>
      <c r="I50" s="143"/>
      <c r="J50" s="143"/>
      <c r="K50" s="143"/>
      <c r="L50" s="155"/>
      <c r="M50" s="161"/>
      <c r="N50" s="131"/>
      <c r="O50" s="131"/>
      <c r="P50" s="131"/>
      <c r="Q50" s="131"/>
      <c r="R50" s="131"/>
      <c r="S50" s="143"/>
      <c r="T50" s="143"/>
      <c r="U50" s="143"/>
      <c r="V50" s="143"/>
      <c r="W50" s="143"/>
      <c r="X50" s="155"/>
      <c r="Y50" s="161"/>
      <c r="Z50" s="131"/>
      <c r="AA50" s="131"/>
      <c r="AB50" s="131"/>
      <c r="AC50" s="131"/>
      <c r="AD50" s="131"/>
      <c r="AE50" s="143"/>
      <c r="AF50" s="143"/>
      <c r="AG50" s="143"/>
      <c r="AH50" s="143"/>
      <c r="AI50" s="143"/>
    </row>
    <row r="51" spans="1:35" x14ac:dyDescent="0.2">
      <c r="A51" s="142" t="s">
        <v>156</v>
      </c>
      <c r="B51" s="131"/>
      <c r="C51" s="131"/>
      <c r="D51" s="131"/>
      <c r="E51" s="131"/>
      <c r="F51" s="131"/>
      <c r="G51" s="131"/>
      <c r="H51" s="131"/>
      <c r="I51" s="131"/>
      <c r="J51" s="131"/>
      <c r="K51" s="140"/>
      <c r="L51" s="155"/>
      <c r="M51" s="142" t="s">
        <v>156</v>
      </c>
      <c r="N51" s="131"/>
      <c r="O51" s="131"/>
      <c r="P51" s="131"/>
      <c r="Q51" s="131"/>
      <c r="R51" s="131"/>
      <c r="S51" s="131"/>
      <c r="T51" s="131"/>
      <c r="U51" s="131"/>
      <c r="V51" s="131"/>
      <c r="W51" s="140"/>
      <c r="X51" s="155"/>
      <c r="Y51" s="142" t="s">
        <v>156</v>
      </c>
      <c r="Z51" s="130"/>
      <c r="AA51" s="130"/>
      <c r="AB51" s="130"/>
      <c r="AC51" s="131"/>
      <c r="AD51" s="131"/>
      <c r="AE51" s="131"/>
      <c r="AF51" s="131"/>
      <c r="AG51" s="131"/>
      <c r="AH51" s="131"/>
      <c r="AI51" s="140"/>
    </row>
    <row r="52" spans="1:35" ht="24" customHeight="1" x14ac:dyDescent="0.2">
      <c r="A52" s="159" t="str">
        <f>+A38</f>
        <v xml:space="preserve"> </v>
      </c>
      <c r="B52" s="131"/>
      <c r="C52" s="131"/>
      <c r="D52" s="131"/>
      <c r="E52" s="131"/>
      <c r="F52" s="131"/>
      <c r="G52" s="141"/>
      <c r="H52" s="141"/>
      <c r="I52" s="141"/>
      <c r="J52" s="141"/>
      <c r="K52" s="141"/>
      <c r="L52" s="155"/>
      <c r="M52" s="129"/>
      <c r="N52" s="131"/>
      <c r="O52" s="131"/>
      <c r="P52" s="131"/>
      <c r="Q52" s="131"/>
      <c r="R52" s="131"/>
      <c r="S52" s="141"/>
      <c r="T52" s="141"/>
      <c r="U52" s="141"/>
      <c r="V52" s="141"/>
      <c r="W52" s="141"/>
      <c r="X52" s="155"/>
      <c r="Y52" s="129"/>
      <c r="Z52" s="131"/>
      <c r="AA52" s="131"/>
      <c r="AB52" s="131"/>
      <c r="AC52" s="131"/>
      <c r="AD52" s="131"/>
      <c r="AE52" s="141"/>
      <c r="AF52" s="141"/>
      <c r="AG52" s="141"/>
      <c r="AH52" s="141"/>
      <c r="AI52" s="141"/>
    </row>
    <row r="53" spans="1:35" ht="24" customHeight="1" x14ac:dyDescent="0.2">
      <c r="A53" s="163" t="str">
        <f>' EQUIPE A 4'!X13</f>
        <v/>
      </c>
      <c r="B53" s="131"/>
      <c r="C53" s="131"/>
      <c r="D53" s="131"/>
      <c r="E53" s="131"/>
      <c r="F53" s="131"/>
      <c r="G53" s="143"/>
      <c r="H53" s="143"/>
      <c r="I53" s="143"/>
      <c r="J53" s="143"/>
      <c r="K53" s="143"/>
      <c r="L53" s="155"/>
      <c r="M53" s="129"/>
      <c r="N53" s="131"/>
      <c r="O53" s="131"/>
      <c r="P53" s="131"/>
      <c r="Q53" s="131"/>
      <c r="R53" s="131"/>
      <c r="S53" s="143"/>
      <c r="T53" s="143"/>
      <c r="U53" s="143"/>
      <c r="V53" s="143"/>
      <c r="W53" s="143"/>
      <c r="X53" s="155"/>
      <c r="Y53" s="129"/>
      <c r="Z53" s="131"/>
      <c r="AA53" s="131"/>
      <c r="AB53" s="131"/>
      <c r="AC53" s="131"/>
      <c r="AD53" s="131"/>
      <c r="AE53" s="143"/>
      <c r="AF53" s="143"/>
      <c r="AG53" s="143"/>
      <c r="AH53" s="143"/>
      <c r="AI53" s="143"/>
    </row>
    <row r="54" spans="1:35" ht="21" customHeight="1" x14ac:dyDescent="0.2">
      <c r="A54" s="144" t="s">
        <v>406</v>
      </c>
      <c r="B54" s="131" t="s">
        <v>415</v>
      </c>
      <c r="C54" s="131" t="str">
        <f>' EQUIPE A 4'!C13</f>
        <v xml:space="preserve"> </v>
      </c>
      <c r="D54" s="131"/>
      <c r="E54" s="131"/>
      <c r="F54" s="131"/>
      <c r="G54" s="131"/>
      <c r="H54" s="131"/>
      <c r="I54" s="131"/>
      <c r="J54" s="131"/>
      <c r="K54" s="139"/>
      <c r="L54" s="155"/>
      <c r="M54" s="144" t="s">
        <v>406</v>
      </c>
      <c r="N54" s="131"/>
      <c r="O54" s="131"/>
      <c r="P54" s="131"/>
      <c r="Q54" s="131"/>
      <c r="R54" s="131"/>
      <c r="S54" s="131"/>
      <c r="T54" s="131"/>
      <c r="U54" s="131"/>
      <c r="V54" s="131"/>
      <c r="W54" s="139"/>
      <c r="X54" s="155"/>
      <c r="Y54" s="144" t="s">
        <v>406</v>
      </c>
      <c r="Z54" s="145"/>
      <c r="AA54" s="145"/>
      <c r="AB54" s="145"/>
      <c r="AC54" s="131"/>
      <c r="AD54" s="131"/>
      <c r="AE54" s="131"/>
      <c r="AF54" s="131"/>
      <c r="AG54" s="131"/>
      <c r="AH54" s="131"/>
      <c r="AI54" s="139"/>
    </row>
    <row r="55" spans="1:35" ht="21" customHeight="1" x14ac:dyDescent="0.2">
      <c r="A55" s="146"/>
      <c r="B55" s="147"/>
      <c r="C55" s="147"/>
      <c r="D55" s="147"/>
      <c r="E55" s="147"/>
      <c r="F55" s="147"/>
      <c r="G55" s="147"/>
      <c r="H55" s="147"/>
      <c r="I55" s="147"/>
      <c r="J55" s="147"/>
      <c r="K55" s="148"/>
      <c r="L55" s="155"/>
      <c r="M55" s="146"/>
      <c r="N55" s="147"/>
      <c r="O55" s="147"/>
      <c r="P55" s="147"/>
      <c r="Q55" s="147"/>
      <c r="R55" s="147"/>
      <c r="S55" s="147"/>
      <c r="T55" s="147"/>
      <c r="U55" s="147"/>
      <c r="V55" s="147"/>
      <c r="W55" s="148"/>
      <c r="X55" s="155"/>
      <c r="Y55" s="146"/>
      <c r="Z55" s="147"/>
      <c r="AA55" s="147"/>
      <c r="AB55" s="147"/>
      <c r="AC55" s="147"/>
      <c r="AD55" s="147"/>
      <c r="AE55" s="147"/>
      <c r="AF55" s="147"/>
      <c r="AG55" s="147"/>
      <c r="AH55" s="147"/>
      <c r="AI55" s="148"/>
    </row>
    <row r="56" spans="1:35" ht="2" customHeight="1" x14ac:dyDescent="0.2">
      <c r="A56" s="155"/>
      <c r="B56" s="155"/>
      <c r="C56" s="155"/>
      <c r="D56" s="155"/>
      <c r="E56" s="155"/>
      <c r="F56" s="155"/>
      <c r="G56" s="155"/>
      <c r="H56" s="155"/>
      <c r="I56" s="155"/>
      <c r="J56" s="155"/>
      <c r="K56" s="155"/>
      <c r="L56" s="155"/>
      <c r="M56" s="155"/>
      <c r="N56" s="155"/>
      <c r="O56" s="155"/>
      <c r="P56" s="155"/>
      <c r="Q56" s="155"/>
      <c r="R56" s="155"/>
      <c r="S56" s="155"/>
      <c r="T56" s="155"/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  <c r="AF56" s="155"/>
      <c r="AG56" s="155"/>
      <c r="AH56" s="155"/>
      <c r="AI56" s="155"/>
    </row>
    <row r="57" spans="1:35" ht="21" customHeight="1" x14ac:dyDescent="0.2">
      <c r="A57" s="469" t="s">
        <v>437</v>
      </c>
      <c r="B57" s="469"/>
      <c r="C57" s="469"/>
      <c r="D57" s="469"/>
      <c r="E57" s="469"/>
      <c r="F57" s="469"/>
      <c r="G57" s="469"/>
      <c r="H57" s="469"/>
      <c r="I57" s="469"/>
      <c r="J57" s="469"/>
      <c r="K57" s="469"/>
      <c r="L57" s="151"/>
      <c r="M57" s="469" t="s">
        <v>437</v>
      </c>
      <c r="N57" s="469"/>
      <c r="O57" s="469"/>
      <c r="P57" s="469"/>
      <c r="Q57" s="469"/>
      <c r="R57" s="469"/>
      <c r="S57" s="469"/>
      <c r="T57" s="469"/>
      <c r="U57" s="469"/>
      <c r="V57" s="469"/>
      <c r="W57" s="469"/>
      <c r="X57" s="151"/>
      <c r="Y57" s="469" t="s">
        <v>437</v>
      </c>
      <c r="Z57" s="469"/>
      <c r="AA57" s="469"/>
      <c r="AB57" s="469"/>
      <c r="AC57" s="469"/>
      <c r="AD57" s="469"/>
      <c r="AE57" s="469"/>
      <c r="AF57" s="469"/>
      <c r="AG57" s="469"/>
      <c r="AH57" s="469"/>
      <c r="AI57" s="469"/>
    </row>
    <row r="58" spans="1:35" ht="21" customHeight="1" x14ac:dyDescent="0.2">
      <c r="A58" s="129"/>
      <c r="B58" s="131"/>
      <c r="C58" s="131"/>
      <c r="D58" s="131"/>
      <c r="E58" s="470"/>
      <c r="F58" s="470"/>
      <c r="G58" s="130" t="s">
        <v>28</v>
      </c>
      <c r="H58" s="133"/>
      <c r="I58" s="131" t="s">
        <v>427</v>
      </c>
      <c r="J58" s="131"/>
      <c r="K58" s="132"/>
      <c r="L58" s="152"/>
      <c r="M58" s="129"/>
      <c r="N58" s="131"/>
      <c r="O58" s="131"/>
      <c r="P58" s="131"/>
      <c r="Q58" s="470"/>
      <c r="R58" s="470"/>
      <c r="S58" s="130" t="s">
        <v>28</v>
      </c>
      <c r="T58" s="133"/>
      <c r="U58" s="131" t="s">
        <v>427</v>
      </c>
      <c r="V58" s="131"/>
      <c r="W58" s="132"/>
      <c r="X58" s="152"/>
      <c r="Y58" s="129"/>
      <c r="Z58" s="131"/>
      <c r="AA58" s="131"/>
      <c r="AB58" s="131"/>
      <c r="AC58" s="470"/>
      <c r="AD58" s="470"/>
      <c r="AE58" s="130" t="s">
        <v>28</v>
      </c>
      <c r="AF58" s="133"/>
      <c r="AG58" s="131" t="s">
        <v>427</v>
      </c>
      <c r="AH58" s="131"/>
      <c r="AI58" s="132"/>
    </row>
    <row r="59" spans="1:35" ht="21" customHeight="1" x14ac:dyDescent="0.2">
      <c r="A59" s="475" t="s">
        <v>437</v>
      </c>
      <c r="B59" s="475"/>
      <c r="C59" s="475"/>
      <c r="D59" s="475"/>
      <c r="E59" s="475"/>
      <c r="F59" s="475"/>
      <c r="G59" s="153" t="s">
        <v>426</v>
      </c>
      <c r="H59" s="468" t="s">
        <v>437</v>
      </c>
      <c r="I59" s="468"/>
      <c r="J59" s="468"/>
      <c r="K59" s="468"/>
      <c r="L59" s="160"/>
      <c r="M59" s="475" t="s">
        <v>437</v>
      </c>
      <c r="N59" s="475"/>
      <c r="O59" s="475"/>
      <c r="P59" s="475"/>
      <c r="Q59" s="475"/>
      <c r="R59" s="475"/>
      <c r="S59" s="153" t="s">
        <v>426</v>
      </c>
      <c r="T59" s="468" t="s">
        <v>437</v>
      </c>
      <c r="U59" s="468"/>
      <c r="V59" s="468"/>
      <c r="W59" s="468"/>
      <c r="X59" s="160"/>
      <c r="Y59" s="475" t="s">
        <v>437</v>
      </c>
      <c r="Z59" s="475"/>
      <c r="AA59" s="475"/>
      <c r="AB59" s="475"/>
      <c r="AC59" s="475"/>
      <c r="AD59" s="475"/>
      <c r="AE59" s="153" t="s">
        <v>426</v>
      </c>
      <c r="AF59" s="468" t="s">
        <v>437</v>
      </c>
      <c r="AG59" s="468"/>
      <c r="AH59" s="468"/>
      <c r="AI59" s="468"/>
    </row>
    <row r="60" spans="1:35" ht="21" customHeight="1" thickBot="1" x14ac:dyDescent="0.25">
      <c r="A60" s="134" t="s">
        <v>29</v>
      </c>
      <c r="B60" s="472" t="s">
        <v>437</v>
      </c>
      <c r="C60" s="472"/>
      <c r="D60" s="472"/>
      <c r="E60" s="472"/>
      <c r="F60" s="472"/>
      <c r="G60" s="135"/>
      <c r="H60" s="136" t="s">
        <v>407</v>
      </c>
      <c r="I60" s="135"/>
      <c r="J60" s="135"/>
      <c r="K60" s="137"/>
      <c r="L60" s="155"/>
      <c r="M60" s="134" t="s">
        <v>29</v>
      </c>
      <c r="N60" s="472">
        <v>43382</v>
      </c>
      <c r="O60" s="472"/>
      <c r="P60" s="472"/>
      <c r="Q60" s="472">
        <v>43382</v>
      </c>
      <c r="R60" s="472"/>
      <c r="S60" s="135"/>
      <c r="T60" s="136" t="s">
        <v>407</v>
      </c>
      <c r="U60" s="135"/>
      <c r="V60" s="135"/>
      <c r="W60" s="137"/>
      <c r="X60" s="155"/>
      <c r="Y60" s="134" t="s">
        <v>29</v>
      </c>
      <c r="Z60" s="472" t="s">
        <v>437</v>
      </c>
      <c r="AA60" s="472"/>
      <c r="AB60" s="472"/>
      <c r="AC60" s="472">
        <v>43382</v>
      </c>
      <c r="AD60" s="472"/>
      <c r="AE60" s="135"/>
      <c r="AF60" s="136" t="s">
        <v>407</v>
      </c>
      <c r="AG60" s="135"/>
      <c r="AH60" s="135"/>
      <c r="AI60" s="137"/>
    </row>
    <row r="61" spans="1:35" ht="21" customHeight="1" thickTop="1" x14ac:dyDescent="0.2">
      <c r="A61" s="129"/>
      <c r="B61" s="131"/>
      <c r="C61" s="131"/>
      <c r="D61" s="131"/>
      <c r="E61" s="138"/>
      <c r="F61" s="131"/>
      <c r="G61" s="131" t="s">
        <v>1021</v>
      </c>
      <c r="H61" s="131"/>
      <c r="I61" s="131"/>
      <c r="J61" s="131"/>
      <c r="K61" s="139"/>
      <c r="L61" s="155"/>
      <c r="M61" s="129"/>
      <c r="N61" s="131"/>
      <c r="O61" s="131"/>
      <c r="P61" s="131"/>
      <c r="Q61" s="138"/>
      <c r="R61" s="131"/>
      <c r="S61" s="131" t="s">
        <v>1021</v>
      </c>
      <c r="T61" s="131"/>
      <c r="U61" s="131"/>
      <c r="V61" s="131"/>
      <c r="W61" s="139"/>
      <c r="X61" s="155"/>
      <c r="Y61" s="129"/>
      <c r="Z61" s="131"/>
      <c r="AA61" s="131"/>
      <c r="AB61" s="131"/>
      <c r="AC61" s="138"/>
      <c r="AD61" s="131"/>
      <c r="AE61" s="131" t="s">
        <v>1021</v>
      </c>
      <c r="AF61" s="131"/>
      <c r="AG61" s="131"/>
      <c r="AH61" s="131"/>
      <c r="AI61" s="139"/>
    </row>
    <row r="62" spans="1:35" ht="21" customHeight="1" x14ac:dyDescent="0.25">
      <c r="A62" s="156" t="s">
        <v>405</v>
      </c>
      <c r="B62" s="474"/>
      <c r="C62" s="474"/>
      <c r="D62" s="474"/>
      <c r="E62" s="474"/>
      <c r="F62" s="474"/>
      <c r="G62" s="157" t="s">
        <v>12</v>
      </c>
      <c r="H62" s="157" t="s">
        <v>13</v>
      </c>
      <c r="I62" s="157" t="s">
        <v>14</v>
      </c>
      <c r="J62" s="157" t="s">
        <v>15</v>
      </c>
      <c r="K62" s="157" t="s">
        <v>16</v>
      </c>
      <c r="L62" s="158"/>
      <c r="M62" s="156" t="s">
        <v>405</v>
      </c>
      <c r="N62" s="474"/>
      <c r="O62" s="474"/>
      <c r="P62" s="474"/>
      <c r="Q62" s="474"/>
      <c r="R62" s="474"/>
      <c r="S62" s="157" t="s">
        <v>12</v>
      </c>
      <c r="T62" s="157" t="s">
        <v>13</v>
      </c>
      <c r="U62" s="157" t="s">
        <v>14</v>
      </c>
      <c r="V62" s="157" t="s">
        <v>15</v>
      </c>
      <c r="W62" s="157" t="s">
        <v>16</v>
      </c>
      <c r="X62" s="158"/>
      <c r="Y62" s="156" t="s">
        <v>405</v>
      </c>
      <c r="Z62" s="474"/>
      <c r="AA62" s="474"/>
      <c r="AB62" s="474"/>
      <c r="AC62" s="474"/>
      <c r="AD62" s="474"/>
      <c r="AE62" s="157" t="s">
        <v>12</v>
      </c>
      <c r="AF62" s="157" t="s">
        <v>13</v>
      </c>
      <c r="AG62" s="157" t="s">
        <v>14</v>
      </c>
      <c r="AH62" s="157" t="s">
        <v>15</v>
      </c>
      <c r="AI62" s="157" t="s">
        <v>16</v>
      </c>
    </row>
    <row r="63" spans="1:35" ht="24" customHeight="1" x14ac:dyDescent="0.2">
      <c r="A63" s="161"/>
      <c r="B63" s="131"/>
      <c r="C63" s="131"/>
      <c r="D63" s="131"/>
      <c r="E63" s="131"/>
      <c r="F63" s="131"/>
      <c r="G63" s="141"/>
      <c r="H63" s="141"/>
      <c r="I63" s="141"/>
      <c r="J63" s="141"/>
      <c r="K63" s="141"/>
      <c r="L63" s="155"/>
      <c r="M63" s="161"/>
      <c r="N63" s="131"/>
      <c r="O63" s="131"/>
      <c r="P63" s="131"/>
      <c r="Q63" s="131"/>
      <c r="R63" s="131"/>
      <c r="S63" s="141"/>
      <c r="T63" s="141"/>
      <c r="U63" s="141"/>
      <c r="V63" s="141"/>
      <c r="W63" s="141"/>
      <c r="X63" s="155"/>
      <c r="Y63" s="161"/>
      <c r="Z63" s="131"/>
      <c r="AA63" s="131"/>
      <c r="AB63" s="131"/>
      <c r="AC63" s="131"/>
      <c r="AD63" s="131"/>
      <c r="AE63" s="141"/>
      <c r="AF63" s="141"/>
      <c r="AG63" s="141"/>
      <c r="AH63" s="141"/>
      <c r="AI63" s="141"/>
    </row>
    <row r="64" spans="1:35" ht="24" customHeight="1" x14ac:dyDescent="0.2">
      <c r="A64" s="161"/>
      <c r="B64" s="131"/>
      <c r="C64" s="131"/>
      <c r="D64" s="131"/>
      <c r="E64" s="131"/>
      <c r="F64" s="131"/>
      <c r="G64" s="143"/>
      <c r="H64" s="143"/>
      <c r="I64" s="143"/>
      <c r="J64" s="143"/>
      <c r="K64" s="143"/>
      <c r="L64" s="155"/>
      <c r="M64" s="161"/>
      <c r="N64" s="131"/>
      <c r="O64" s="131"/>
      <c r="P64" s="131"/>
      <c r="Q64" s="131"/>
      <c r="R64" s="131"/>
      <c r="S64" s="143"/>
      <c r="T64" s="143"/>
      <c r="U64" s="143"/>
      <c r="V64" s="143"/>
      <c r="W64" s="143"/>
      <c r="X64" s="155"/>
      <c r="Y64" s="161"/>
      <c r="Z64" s="131"/>
      <c r="AA64" s="131"/>
      <c r="AB64" s="131"/>
      <c r="AC64" s="131"/>
      <c r="AD64" s="131"/>
      <c r="AE64" s="143"/>
      <c r="AF64" s="143"/>
      <c r="AG64" s="143"/>
      <c r="AH64" s="143"/>
      <c r="AI64" s="143"/>
    </row>
    <row r="65" spans="1:35" x14ac:dyDescent="0.2">
      <c r="A65" s="142" t="s">
        <v>156</v>
      </c>
      <c r="B65" s="130"/>
      <c r="C65" s="130"/>
      <c r="D65" s="130"/>
      <c r="E65" s="131"/>
      <c r="F65" s="131"/>
      <c r="G65" s="131"/>
      <c r="H65" s="131"/>
      <c r="I65" s="131"/>
      <c r="J65" s="131"/>
      <c r="K65" s="140"/>
      <c r="L65" s="155"/>
      <c r="M65" s="142" t="s">
        <v>156</v>
      </c>
      <c r="N65" s="130"/>
      <c r="O65" s="130"/>
      <c r="P65" s="130"/>
      <c r="Q65" s="131"/>
      <c r="R65" s="131"/>
      <c r="S65" s="131"/>
      <c r="T65" s="131"/>
      <c r="U65" s="131"/>
      <c r="V65" s="131"/>
      <c r="W65" s="140"/>
      <c r="X65" s="155"/>
      <c r="Y65" s="142" t="s">
        <v>156</v>
      </c>
      <c r="Z65" s="130"/>
      <c r="AA65" s="130"/>
      <c r="AB65" s="130"/>
      <c r="AC65" s="131"/>
      <c r="AD65" s="131"/>
      <c r="AE65" s="131"/>
      <c r="AF65" s="131"/>
      <c r="AG65" s="131"/>
      <c r="AH65" s="131"/>
      <c r="AI65" s="140"/>
    </row>
    <row r="66" spans="1:35" ht="24" customHeight="1" x14ac:dyDescent="0.2">
      <c r="A66" s="161"/>
      <c r="B66" s="131"/>
      <c r="C66" s="131"/>
      <c r="D66" s="131"/>
      <c r="E66" s="131"/>
      <c r="F66" s="131"/>
      <c r="G66" s="141"/>
      <c r="H66" s="141"/>
      <c r="I66" s="141"/>
      <c r="J66" s="141"/>
      <c r="K66" s="141"/>
      <c r="L66" s="155"/>
      <c r="M66" s="161"/>
      <c r="N66" s="131"/>
      <c r="O66" s="131"/>
      <c r="P66" s="131"/>
      <c r="Q66" s="131"/>
      <c r="R66" s="131"/>
      <c r="S66" s="141"/>
      <c r="T66" s="141"/>
      <c r="U66" s="141"/>
      <c r="V66" s="141"/>
      <c r="W66" s="141"/>
      <c r="X66" s="155"/>
      <c r="Y66" s="161"/>
      <c r="Z66" s="131"/>
      <c r="AA66" s="131"/>
      <c r="AB66" s="131"/>
      <c r="AC66" s="131"/>
      <c r="AD66" s="131"/>
      <c r="AE66" s="141"/>
      <c r="AF66" s="141"/>
      <c r="AG66" s="141"/>
      <c r="AH66" s="141"/>
      <c r="AI66" s="141"/>
    </row>
    <row r="67" spans="1:35" ht="24" customHeight="1" x14ac:dyDescent="0.2">
      <c r="A67" s="129"/>
      <c r="B67" s="131"/>
      <c r="C67" s="131"/>
      <c r="D67" s="131"/>
      <c r="E67" s="131"/>
      <c r="F67" s="131"/>
      <c r="G67" s="143"/>
      <c r="H67" s="143"/>
      <c r="I67" s="143"/>
      <c r="J67" s="143"/>
      <c r="K67" s="143"/>
      <c r="L67" s="155"/>
      <c r="M67" s="129"/>
      <c r="N67" s="131"/>
      <c r="O67" s="131"/>
      <c r="P67" s="131"/>
      <c r="Q67" s="131"/>
      <c r="R67" s="131"/>
      <c r="S67" s="143"/>
      <c r="T67" s="143"/>
      <c r="U67" s="143"/>
      <c r="V67" s="143"/>
      <c r="W67" s="143"/>
      <c r="X67" s="155"/>
      <c r="Y67" s="129"/>
      <c r="Z67" s="131"/>
      <c r="AA67" s="131"/>
      <c r="AB67" s="131"/>
      <c r="AC67" s="131"/>
      <c r="AD67" s="131"/>
      <c r="AE67" s="143"/>
      <c r="AF67" s="143"/>
      <c r="AG67" s="143"/>
      <c r="AH67" s="143"/>
      <c r="AI67" s="143"/>
    </row>
    <row r="68" spans="1:35" ht="21" customHeight="1" x14ac:dyDescent="0.2">
      <c r="A68" s="144" t="s">
        <v>406</v>
      </c>
      <c r="B68" s="145"/>
      <c r="C68" s="145"/>
      <c r="D68" s="145"/>
      <c r="E68" s="131"/>
      <c r="F68" s="131"/>
      <c r="G68" s="131"/>
      <c r="H68" s="131"/>
      <c r="I68" s="131"/>
      <c r="J68" s="131"/>
      <c r="K68" s="139"/>
      <c r="L68" s="155"/>
      <c r="M68" s="144" t="s">
        <v>406</v>
      </c>
      <c r="N68" s="145"/>
      <c r="O68" s="145"/>
      <c r="P68" s="145"/>
      <c r="Q68" s="131"/>
      <c r="R68" s="131"/>
      <c r="S68" s="131"/>
      <c r="T68" s="131"/>
      <c r="U68" s="131"/>
      <c r="V68" s="131"/>
      <c r="W68" s="139"/>
      <c r="X68" s="155"/>
      <c r="Y68" s="144" t="s">
        <v>406</v>
      </c>
      <c r="Z68" s="145"/>
      <c r="AA68" s="145"/>
      <c r="AB68" s="145"/>
      <c r="AC68" s="131"/>
      <c r="AD68" s="131"/>
      <c r="AE68" s="131"/>
      <c r="AF68" s="131"/>
      <c r="AG68" s="131"/>
      <c r="AH68" s="131"/>
      <c r="AI68" s="139"/>
    </row>
    <row r="69" spans="1:35" ht="21" customHeight="1" x14ac:dyDescent="0.2">
      <c r="A69" s="146"/>
      <c r="B69" s="147"/>
      <c r="C69" s="147"/>
      <c r="D69" s="147"/>
      <c r="E69" s="147"/>
      <c r="F69" s="147"/>
      <c r="G69" s="147"/>
      <c r="H69" s="147"/>
      <c r="I69" s="147"/>
      <c r="J69" s="147"/>
      <c r="K69" s="148"/>
      <c r="L69" s="155"/>
      <c r="M69" s="146"/>
      <c r="N69" s="147"/>
      <c r="O69" s="147"/>
      <c r="P69" s="147"/>
      <c r="Q69" s="147"/>
      <c r="R69" s="147"/>
      <c r="S69" s="147"/>
      <c r="T69" s="147"/>
      <c r="U69" s="147"/>
      <c r="V69" s="147"/>
      <c r="W69" s="148"/>
      <c r="X69" s="155"/>
      <c r="Y69" s="146"/>
      <c r="Z69" s="147"/>
      <c r="AA69" s="147"/>
      <c r="AB69" s="147"/>
      <c r="AC69" s="147"/>
      <c r="AD69" s="147"/>
      <c r="AE69" s="147"/>
      <c r="AF69" s="147"/>
      <c r="AG69" s="147"/>
      <c r="AH69" s="147"/>
      <c r="AI69" s="148"/>
    </row>
  </sheetData>
  <mergeCells count="90">
    <mergeCell ref="AF31:AI31"/>
    <mergeCell ref="N32:R32"/>
    <mergeCell ref="B34:F34"/>
    <mergeCell ref="A31:F31"/>
    <mergeCell ref="H31:K31"/>
    <mergeCell ref="M31:R31"/>
    <mergeCell ref="T31:W31"/>
    <mergeCell ref="Y31:AD31"/>
    <mergeCell ref="Z32:AD32"/>
    <mergeCell ref="N34:R34"/>
    <mergeCell ref="Z34:AD34"/>
    <mergeCell ref="A1:K1"/>
    <mergeCell ref="B6:F6"/>
    <mergeCell ref="H3:K3"/>
    <mergeCell ref="B2:F2"/>
    <mergeCell ref="A3:F3"/>
    <mergeCell ref="B4:F4"/>
    <mergeCell ref="M1:W1"/>
    <mergeCell ref="Y1:AI1"/>
    <mergeCell ref="N2:R2"/>
    <mergeCell ref="AC2:AD2"/>
    <mergeCell ref="M3:R3"/>
    <mergeCell ref="T3:W3"/>
    <mergeCell ref="Y3:AD3"/>
    <mergeCell ref="AF3:AI3"/>
    <mergeCell ref="Z4:AD4"/>
    <mergeCell ref="N6:R6"/>
    <mergeCell ref="Z6:AD6"/>
    <mergeCell ref="A15:K15"/>
    <mergeCell ref="M15:W15"/>
    <mergeCell ref="Y15:AI15"/>
    <mergeCell ref="N4:R4"/>
    <mergeCell ref="B16:F16"/>
    <mergeCell ref="N16:R16"/>
    <mergeCell ref="AC16:AD16"/>
    <mergeCell ref="A17:F17"/>
    <mergeCell ref="H17:K17"/>
    <mergeCell ref="M17:R17"/>
    <mergeCell ref="T17:W17"/>
    <mergeCell ref="Y17:AD17"/>
    <mergeCell ref="AF17:AI17"/>
    <mergeCell ref="B18:F18"/>
    <mergeCell ref="N18:R18"/>
    <mergeCell ref="Z18:AD18"/>
    <mergeCell ref="B20:F20"/>
    <mergeCell ref="N20:R20"/>
    <mergeCell ref="Z20:AD20"/>
    <mergeCell ref="A29:K29"/>
    <mergeCell ref="M29:W29"/>
    <mergeCell ref="Y29:AI29"/>
    <mergeCell ref="B30:F30"/>
    <mergeCell ref="N30:R30"/>
    <mergeCell ref="AC30:AD30"/>
    <mergeCell ref="A43:K43"/>
    <mergeCell ref="M43:W43"/>
    <mergeCell ref="Y43:AI43"/>
    <mergeCell ref="B32:F32"/>
    <mergeCell ref="B44:F44"/>
    <mergeCell ref="N44:R44"/>
    <mergeCell ref="AC44:AD44"/>
    <mergeCell ref="AF45:AI45"/>
    <mergeCell ref="B46:F46"/>
    <mergeCell ref="N46:R46"/>
    <mergeCell ref="Z46:AD46"/>
    <mergeCell ref="B48:F48"/>
    <mergeCell ref="N48:R48"/>
    <mergeCell ref="Z48:AD48"/>
    <mergeCell ref="A45:F45"/>
    <mergeCell ref="H45:K45"/>
    <mergeCell ref="M45:R45"/>
    <mergeCell ref="T45:W45"/>
    <mergeCell ref="Y45:AD45"/>
    <mergeCell ref="A57:K57"/>
    <mergeCell ref="M57:W57"/>
    <mergeCell ref="Y57:AI57"/>
    <mergeCell ref="E58:F58"/>
    <mergeCell ref="Q58:R58"/>
    <mergeCell ref="AC58:AD58"/>
    <mergeCell ref="AF59:AI59"/>
    <mergeCell ref="B60:F60"/>
    <mergeCell ref="N60:R60"/>
    <mergeCell ref="Z60:AD60"/>
    <mergeCell ref="B62:F62"/>
    <mergeCell ref="N62:R62"/>
    <mergeCell ref="Z62:AD62"/>
    <mergeCell ref="A59:F59"/>
    <mergeCell ref="H59:K59"/>
    <mergeCell ref="M59:R59"/>
    <mergeCell ref="T59:W59"/>
    <mergeCell ref="Y59:AD59"/>
  </mergeCells>
  <pageMargins left="0.19685039370078741" right="0.19685039370078741" top="0.15748031496062992" bottom="0.15748031496062992" header="0.11811023622047245" footer="0.11811023622047245"/>
  <pageSetup paperSize="9" scale="65" fitToHeight="2" orientation="landscape" r:id="rId1"/>
  <headerFooter>
    <oddHeader>&amp;C&amp;"Calibri"&amp;10&amp;KFF8C00C2 - Confidential&amp;1#</oddHeader>
  </headerFooter>
  <rowBreaks count="1" manualBreakCount="1">
    <brk id="41" max="34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8">
    <tabColor rgb="FF00B0F0"/>
  </sheetPr>
  <dimension ref="A1:CS120"/>
  <sheetViews>
    <sheetView showGridLines="0" topLeftCell="AF1" zoomScale="80" zoomScaleNormal="80" zoomScaleSheetLayoutView="80" workbookViewId="0">
      <selection activeCell="Q42" sqref="Q42"/>
    </sheetView>
  </sheetViews>
  <sheetFormatPr baseColWidth="10" defaultRowHeight="16" outlineLevelCol="1" x14ac:dyDescent="0.2"/>
  <cols>
    <col min="1" max="12" width="5.6640625" customWidth="1"/>
    <col min="13" max="13" width="8.6640625" customWidth="1"/>
    <col min="14" max="18" width="5.6640625" customWidth="1"/>
    <col min="19" max="19" width="5.5" customWidth="1"/>
    <col min="20" max="27" width="5.6640625" customWidth="1"/>
    <col min="28" max="28" width="2.33203125" customWidth="1"/>
    <col min="29" max="29" width="22.1640625" customWidth="1"/>
    <col min="30" max="30" width="16.6640625" customWidth="1"/>
    <col min="31" max="31" width="9.1640625" customWidth="1"/>
    <col min="32" max="32" width="27.1640625" customWidth="1"/>
    <col min="33" max="33" width="26.33203125" bestFit="1" customWidth="1"/>
    <col min="34" max="39" width="5.6640625" hidden="1" customWidth="1" outlineLevel="1"/>
    <col min="40" max="49" width="5.6640625" style="3" hidden="1" customWidth="1" outlineLevel="1"/>
    <col min="50" max="50" width="5.6640625" style="3" hidden="1" customWidth="1" outlineLevel="1" collapsed="1"/>
    <col min="51" max="56" width="5.6640625" style="3" hidden="1" customWidth="1" outlineLevel="1"/>
    <col min="57" max="57" width="5.6640625" style="3" customWidth="1" collapsed="1"/>
    <col min="58" max="59" width="5.6640625" style="3" customWidth="1"/>
    <col min="60" max="60" width="5.6640625" customWidth="1"/>
    <col min="61" max="63" width="5.6640625" hidden="1" customWidth="1" outlineLevel="1"/>
    <col min="64" max="65" width="11" hidden="1" customWidth="1" outlineLevel="1"/>
    <col min="66" max="66" width="16.6640625" hidden="1" customWidth="1" outlineLevel="1"/>
    <col min="67" max="70" width="11" hidden="1" customWidth="1" outlineLevel="1"/>
    <col min="71" max="71" width="11" customWidth="1" collapsed="1"/>
    <col min="86" max="86" width="21.1640625" customWidth="1"/>
  </cols>
  <sheetData>
    <row r="1" spans="1:97" ht="20" customHeight="1" x14ac:dyDescent="0.2">
      <c r="A1" s="114" t="s">
        <v>1661</v>
      </c>
      <c r="CA1" s="287" t="s">
        <v>1032</v>
      </c>
      <c r="CB1" t="s">
        <v>1053</v>
      </c>
      <c r="CC1">
        <f>R3</f>
        <v>0</v>
      </c>
      <c r="CD1" s="288" t="str">
        <f>+D2</f>
        <v/>
      </c>
      <c r="CE1" s="288" t="str">
        <f>IF(ISBLANK(D3),D2,D3)</f>
        <v/>
      </c>
      <c r="CF1">
        <f>I3</f>
        <v>0</v>
      </c>
      <c r="CG1">
        <f>N3</f>
        <v>0</v>
      </c>
      <c r="CH1" t="str">
        <f>B6&amp;" "&amp;F6</f>
        <v xml:space="preserve"> </v>
      </c>
      <c r="CI1" t="s">
        <v>156</v>
      </c>
      <c r="CJ1" t="str">
        <f>N6&amp;" "&amp;R6</f>
        <v xml:space="preserve"> </v>
      </c>
      <c r="CL1">
        <f>L23 + L33</f>
        <v>0</v>
      </c>
      <c r="CM1">
        <f>N23 +N33</f>
        <v>0</v>
      </c>
      <c r="CO1">
        <f>AK33</f>
        <v>0</v>
      </c>
      <c r="CP1">
        <f>AK34</f>
        <v>0</v>
      </c>
      <c r="CR1">
        <f>AL33</f>
        <v>0</v>
      </c>
      <c r="CS1">
        <f>AL34</f>
        <v>0</v>
      </c>
    </row>
    <row r="2" spans="1:97" ht="16" customHeight="1" x14ac:dyDescent="0.2">
      <c r="A2" s="45" t="s">
        <v>23</v>
      </c>
      <c r="C2" s="25"/>
      <c r="D2" s="505" t="str">
        <f>+IFERROR(VLOOKUP(R3,'Jour Match'!$B$26:$C$34,2,0),"")</f>
        <v/>
      </c>
      <c r="E2" s="506"/>
      <c r="AC2" t="s">
        <v>417</v>
      </c>
      <c r="AD2" s="87"/>
      <c r="AE2" s="87"/>
      <c r="AF2" s="87"/>
      <c r="AH2" s="87"/>
    </row>
    <row r="3" spans="1:97" ht="25" customHeight="1" x14ac:dyDescent="0.25">
      <c r="A3" s="27" t="s">
        <v>272</v>
      </c>
      <c r="D3" s="435"/>
      <c r="E3" s="436"/>
      <c r="G3" s="45" t="s">
        <v>263</v>
      </c>
      <c r="I3" s="507"/>
      <c r="J3" s="513"/>
      <c r="K3" s="513"/>
      <c r="L3" s="513"/>
      <c r="M3" s="88" t="s">
        <v>28</v>
      </c>
      <c r="N3" s="92"/>
      <c r="O3" s="89"/>
      <c r="P3" s="45" t="s">
        <v>387</v>
      </c>
      <c r="Q3" s="27"/>
      <c r="R3" s="91"/>
      <c r="AC3" s="27" t="s">
        <v>373</v>
      </c>
      <c r="AN3"/>
    </row>
    <row r="4" spans="1:97" ht="16" customHeight="1" thickBot="1" x14ac:dyDescent="0.25">
      <c r="E4" s="13"/>
      <c r="F4" s="8"/>
      <c r="G4" s="7"/>
      <c r="H4" s="7"/>
      <c r="I4" s="7"/>
      <c r="J4" s="7"/>
      <c r="K4" s="7"/>
      <c r="L4" s="7"/>
      <c r="M4" s="7"/>
      <c r="N4" s="7"/>
      <c r="O4" s="7"/>
      <c r="AC4" s="27" t="s">
        <v>372</v>
      </c>
      <c r="AN4"/>
    </row>
    <row r="5" spans="1:97" ht="16" customHeight="1" thickTop="1" x14ac:dyDescent="0.2">
      <c r="A5" s="61"/>
      <c r="B5" s="50" t="s">
        <v>273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94" t="s">
        <v>228</v>
      </c>
      <c r="O5" s="48"/>
      <c r="P5" s="48"/>
      <c r="Q5" s="48"/>
      <c r="R5" s="48"/>
      <c r="S5" s="48"/>
      <c r="T5" s="48"/>
      <c r="U5" s="51"/>
      <c r="AC5" s="27" t="s">
        <v>376</v>
      </c>
      <c r="AN5"/>
    </row>
    <row r="6" spans="1:97" ht="25" customHeight="1" thickBot="1" x14ac:dyDescent="0.25">
      <c r="A6" s="62"/>
      <c r="B6" s="509"/>
      <c r="C6" s="510"/>
      <c r="D6" s="510"/>
      <c r="E6" s="5"/>
      <c r="F6" s="52"/>
      <c r="G6" s="5"/>
      <c r="H6" s="5"/>
      <c r="I6" s="5"/>
      <c r="J6" s="5"/>
      <c r="K6" s="5"/>
      <c r="L6" s="5"/>
      <c r="M6" s="5"/>
      <c r="N6" s="511"/>
      <c r="O6" s="510"/>
      <c r="P6" s="510"/>
      <c r="Q6" s="5"/>
      <c r="R6" s="52"/>
      <c r="S6" s="5"/>
      <c r="T6" s="5"/>
      <c r="U6" s="53"/>
      <c r="AC6" s="27" t="s">
        <v>374</v>
      </c>
      <c r="AM6" s="2"/>
      <c r="AN6" s="4"/>
    </row>
    <row r="7" spans="1:97" ht="16" customHeight="1" thickTop="1" x14ac:dyDescent="0.25">
      <c r="V7" s="75" t="str">
        <f>'EQUIPE A 3'!W6</f>
        <v>Mise à jour du 24 Novembre 2025</v>
      </c>
      <c r="AC7" s="27" t="s">
        <v>377</v>
      </c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J7" s="15"/>
      <c r="BK7" s="15"/>
      <c r="BL7" s="15"/>
      <c r="BO7" s="15"/>
    </row>
    <row r="8" spans="1:97" ht="16" customHeight="1" thickBot="1" x14ac:dyDescent="0.25">
      <c r="G8" s="14"/>
      <c r="AC8" s="27" t="s">
        <v>482</v>
      </c>
    </row>
    <row r="9" spans="1:97" ht="16" customHeight="1" thickTop="1" thickBot="1" x14ac:dyDescent="0.25">
      <c r="A9" s="63"/>
      <c r="B9" s="95" t="s">
        <v>370</v>
      </c>
      <c r="C9" s="56" t="s">
        <v>274</v>
      </c>
      <c r="D9" s="57"/>
      <c r="E9" s="57"/>
      <c r="F9" s="57"/>
      <c r="G9" s="57"/>
      <c r="H9" s="59"/>
      <c r="I9" s="71" t="s">
        <v>275</v>
      </c>
      <c r="J9" s="442" t="s">
        <v>367</v>
      </c>
      <c r="K9" s="443"/>
      <c r="L9" s="57"/>
      <c r="M9" s="59"/>
      <c r="N9" s="60"/>
      <c r="O9" s="59"/>
      <c r="P9" s="96" t="s">
        <v>370</v>
      </c>
      <c r="Q9" s="56" t="s">
        <v>274</v>
      </c>
      <c r="R9" s="57"/>
      <c r="S9" s="59"/>
      <c r="T9" s="59"/>
      <c r="U9" s="59"/>
      <c r="V9" s="59"/>
      <c r="W9" s="59"/>
      <c r="X9" s="71" t="s">
        <v>275</v>
      </c>
      <c r="Y9" s="442" t="s">
        <v>367</v>
      </c>
      <c r="Z9" s="443"/>
      <c r="AA9" s="60"/>
      <c r="AC9" s="27" t="s">
        <v>375</v>
      </c>
    </row>
    <row r="10" spans="1:97" ht="25" customHeight="1" x14ac:dyDescent="0.25">
      <c r="A10" s="290" t="s">
        <v>0</v>
      </c>
      <c r="B10" s="311"/>
      <c r="C10" s="291" t="str">
        <f>IF(B10="","",IFERROR(VLOOKUP($B$6&amp;$B10,'LISTE JOUEURS'!$P:$S,2,0),"")) &amp;" "&amp; IF(B10="","",IFERROR(VLOOKUP($B$6&amp;$B10,'LISTE JOUEURS'!$P:$S,3,0),""))</f>
        <v xml:space="preserve"> </v>
      </c>
      <c r="D10" s="292"/>
      <c r="E10" s="292"/>
      <c r="F10" s="292"/>
      <c r="G10" s="293"/>
      <c r="H10" s="293"/>
      <c r="I10" s="312" t="str">
        <f>IF(B10="","",IFERROR(VLOOKUP($B$6&amp;$B10,'LISTE JOUEURS'!$P:$U,4,0),500))</f>
        <v/>
      </c>
      <c r="J10" s="519" t="str">
        <f>IF(B10="","",IFERROR(VLOOKUP($B$6&amp;$B10,'LISTE JOUEURS'!$P:$U,5,0),""))</f>
        <v/>
      </c>
      <c r="K10" s="520"/>
      <c r="L10" s="313"/>
      <c r="M10" s="293"/>
      <c r="N10" s="389"/>
      <c r="O10" s="294" t="s">
        <v>4</v>
      </c>
      <c r="P10" s="314"/>
      <c r="Q10" s="295" t="str">
        <f>IF(P10="","",IFERROR(VLOOKUP($N$6&amp;$P10,'LISTE JOUEURS'!$P:$S,2,0),""))&amp; " "&amp;IF(P10="","",IFERROR(VLOOKUP($N$6&amp;$P10,'LISTE JOUEURS'!$P:$S,3,0),""))</f>
        <v xml:space="preserve"> </v>
      </c>
      <c r="R10" s="292"/>
      <c r="S10" s="292"/>
      <c r="T10" s="292"/>
      <c r="U10" s="293"/>
      <c r="V10" s="293"/>
      <c r="W10" s="293"/>
      <c r="X10" s="312" t="str">
        <f>IF(P10="","",IFERROR(VLOOKUP($N$6&amp;$P10,'LISTE JOUEURS'!$P:$U,4,0),500))</f>
        <v/>
      </c>
      <c r="Y10" s="521" t="str">
        <f>IF(P10="","",IFERROR(VLOOKUP($N$6&amp;$P10,'LISTE JOUEURS'!$P:$U,5,0),""))</f>
        <v/>
      </c>
      <c r="Z10" s="522"/>
      <c r="AA10" s="296"/>
      <c r="AC10" s="27" t="s">
        <v>394</v>
      </c>
      <c r="AM10" s="2"/>
      <c r="AN10" s="4"/>
      <c r="BO10" s="21" t="s">
        <v>31</v>
      </c>
      <c r="BP10" s="22" t="s">
        <v>29</v>
      </c>
      <c r="BQ10" s="23" t="s">
        <v>30</v>
      </c>
    </row>
    <row r="11" spans="1:97" ht="25" customHeight="1" x14ac:dyDescent="0.25">
      <c r="A11" s="297" t="s">
        <v>1</v>
      </c>
      <c r="B11" s="315"/>
      <c r="C11" s="298" t="str">
        <f>IF(B11="","",IFERROR(VLOOKUP($B$6&amp;$B11,'LISTE JOUEURS'!$P:$S,2,0),"")) &amp;" "&amp; IF(B11="","",IFERROR(VLOOKUP($B$6&amp;$B11,'LISTE JOUEURS'!$P:$S,3,0),""))</f>
        <v xml:space="preserve"> </v>
      </c>
      <c r="D11" s="299"/>
      <c r="E11" s="299"/>
      <c r="F11" s="299"/>
      <c r="G11" s="299"/>
      <c r="H11" s="299"/>
      <c r="I11" s="316" t="str">
        <f>IF(B11="","",IFERROR(VLOOKUP($B$6&amp;$B11,'LISTE JOUEURS'!$P:$U,4,0),500))</f>
        <v/>
      </c>
      <c r="J11" s="523" t="str">
        <f>IF(B11="","",IFERROR(VLOOKUP($B$6&amp;$B11,'LISTE JOUEURS'!$P:$U,5,0),""))</f>
        <v/>
      </c>
      <c r="K11" s="524"/>
      <c r="L11" s="317"/>
      <c r="M11" s="299"/>
      <c r="N11" s="390"/>
      <c r="O11" s="300" t="s">
        <v>5</v>
      </c>
      <c r="P11" s="318"/>
      <c r="Q11" s="301" t="str">
        <f>IF(P11="","",IFERROR(VLOOKUP($N$6&amp;$P11,'LISTE JOUEURS'!$P:$S,2,0),""))&amp; " "&amp;IF(P11="","",IFERROR(VLOOKUP($N$6&amp;$P11,'LISTE JOUEURS'!$P:$S,3,0),""))</f>
        <v xml:space="preserve"> </v>
      </c>
      <c r="R11" s="299"/>
      <c r="S11" s="299"/>
      <c r="T11" s="299"/>
      <c r="U11" s="302"/>
      <c r="V11" s="302"/>
      <c r="W11" s="302"/>
      <c r="X11" s="316" t="str">
        <f>IF(P11="","",IFERROR(VLOOKUP($N$6&amp;$P11,'LISTE JOUEURS'!$P:$U,4,0),500))</f>
        <v/>
      </c>
      <c r="Y11" s="525" t="str">
        <f>IF(P11="","",IFERROR(VLOOKUP($N$6&amp;$P11,'LISTE JOUEURS'!$P:$U,5,0),""))</f>
        <v/>
      </c>
      <c r="Z11" s="526"/>
      <c r="AA11" s="303"/>
      <c r="AC11" s="27" t="s">
        <v>395</v>
      </c>
      <c r="BO11" s="29" t="s">
        <v>32</v>
      </c>
      <c r="BP11" s="30" t="str">
        <f>'JEUNES (4)'!$D$2</f>
        <v/>
      </c>
      <c r="BQ11" s="31">
        <f>IFERROR(IF('JEUNES (4)'!L17=4,VLOOKUP('JEUNES (4)'!B6&amp;'JEUNES (4)'!B10,'LISTE JOUEURS'!$P:$U,6,0),VLOOKUP('JEUNES (4)'!N6&amp;'JEUNES (4)'!P10,'LISTE JOUEURS'!$P:$U,6,0)),0)</f>
        <v>0</v>
      </c>
      <c r="BR11" t="e">
        <f>+_xlfn.XLOOKUP(BQ11,'LISTE JOUEURS'!$U:$U,'LISTE JOUEURS'!$Q:$Q)&amp;" "&amp;_xlfn.XLOOKUP(BQ11,'LISTE JOUEURS'!$U:$U,'LISTE JOUEURS'!$R:$R)</f>
        <v>#N/A</v>
      </c>
    </row>
    <row r="12" spans="1:97" ht="25" customHeight="1" x14ac:dyDescent="0.25">
      <c r="A12" s="297" t="s">
        <v>2</v>
      </c>
      <c r="B12" s="315"/>
      <c r="C12" s="298" t="str">
        <f>IF(B12="","",IFERROR(VLOOKUP($B$6&amp;$B12,'LISTE JOUEURS'!$P:$S,2,0),"")) &amp;" "&amp; IF(B12="","",IFERROR(VLOOKUP($B$6&amp;$B12,'LISTE JOUEURS'!$P:$S,3,0),""))</f>
        <v xml:space="preserve"> </v>
      </c>
      <c r="D12" s="299"/>
      <c r="E12" s="302"/>
      <c r="F12" s="302"/>
      <c r="G12" s="302"/>
      <c r="H12" s="302"/>
      <c r="I12" s="316" t="str">
        <f>IF(B12="","",IFERROR(VLOOKUP($B$6&amp;$B12,'LISTE JOUEURS'!$P:$U,4,0),500))</f>
        <v/>
      </c>
      <c r="J12" s="523" t="str">
        <f>IF(B12="","",IFERROR(VLOOKUP($B$6&amp;$B12,'LISTE JOUEURS'!$P:$U,5,0),""))</f>
        <v/>
      </c>
      <c r="K12" s="524"/>
      <c r="L12" s="317"/>
      <c r="M12" s="302"/>
      <c r="N12" s="390"/>
      <c r="O12" s="300" t="s">
        <v>6</v>
      </c>
      <c r="P12" s="318"/>
      <c r="Q12" s="301" t="str">
        <f>IF(P12="","",IFERROR(VLOOKUP($N$6&amp;$P12,'LISTE JOUEURS'!$P:$S,2,0),""))&amp; " "&amp;IF(P12="","",IFERROR(VLOOKUP($N$6&amp;$P12,'LISTE JOUEURS'!$P:$S,3,0),""))</f>
        <v xml:space="preserve"> </v>
      </c>
      <c r="R12" s="299"/>
      <c r="S12" s="299"/>
      <c r="T12" s="299"/>
      <c r="U12" s="302"/>
      <c r="V12" s="302"/>
      <c r="W12" s="302"/>
      <c r="X12" s="316" t="str">
        <f>IF(P12="","",IFERROR(VLOOKUP($N$6&amp;$P12,'LISTE JOUEURS'!$P:$U,4,0),500))</f>
        <v/>
      </c>
      <c r="Y12" s="525" t="str">
        <f>IF(P12="","",IFERROR(VLOOKUP($N$6&amp;$P12,'LISTE JOUEURS'!$P:$U,5,0),""))</f>
        <v/>
      </c>
      <c r="Z12" s="526"/>
      <c r="AA12" s="303"/>
      <c r="AC12" s="27" t="s">
        <v>404</v>
      </c>
      <c r="BO12" s="29" t="s">
        <v>33</v>
      </c>
      <c r="BP12" s="30" t="str">
        <f>'JEUNES (4)'!$D$2</f>
        <v/>
      </c>
      <c r="BQ12" s="31">
        <f>IFERROR(IF('JEUNES (4)'!L17=0,VLOOKUP('JEUNES (4)'!B6&amp;'JEUNES (4)'!B10,'LISTE JOUEURS'!$P:$U,6,0),VLOOKUP('JEUNES (4)'!N6&amp;'JEUNES (4)'!P10,'LISTE JOUEURS'!$P:$U,6,0)),0)</f>
        <v>0</v>
      </c>
      <c r="BR12" t="e">
        <f>+_xlfn.XLOOKUP(BQ12,'LISTE JOUEURS'!$U:$U,'LISTE JOUEURS'!$Q:$Q)&amp;" "&amp;_xlfn.XLOOKUP(BQ12,'LISTE JOUEURS'!$U:$U,'LISTE JOUEURS'!$R:$R)</f>
        <v>#N/A</v>
      </c>
    </row>
    <row r="13" spans="1:97" ht="25" customHeight="1" thickBot="1" x14ac:dyDescent="0.3">
      <c r="A13" s="304" t="s">
        <v>3</v>
      </c>
      <c r="B13" s="319"/>
      <c r="C13" s="305" t="str">
        <f>IF(B13="","",IFERROR(VLOOKUP($B$6&amp;$B13,'LISTE JOUEURS'!$P:$S,2,0),"")) &amp;" "&amp; IF(B13="","",IFERROR(VLOOKUP($B$6&amp;$B13,'LISTE JOUEURS'!$P:$S,3,0),""))</f>
        <v xml:space="preserve"> </v>
      </c>
      <c r="D13" s="306"/>
      <c r="E13" s="306"/>
      <c r="F13" s="306"/>
      <c r="G13" s="306"/>
      <c r="H13" s="306"/>
      <c r="I13" s="320" t="str">
        <f>IF(B13="","",IFERROR(VLOOKUP($B$6&amp;$B13,'LISTE JOUEURS'!$P:$U,4,0),500))</f>
        <v/>
      </c>
      <c r="J13" s="514" t="str">
        <f>IF(B13="","",IFERROR(VLOOKUP($B$6&amp;$B13,'LISTE JOUEURS'!$P:$U,5,0),""))</f>
        <v/>
      </c>
      <c r="K13" s="515"/>
      <c r="L13" s="321"/>
      <c r="M13" s="306"/>
      <c r="N13" s="391"/>
      <c r="O13" s="307" t="s">
        <v>7</v>
      </c>
      <c r="P13" s="322"/>
      <c r="Q13" s="308" t="str">
        <f>IF(P13="","",IFERROR(VLOOKUP($N$6&amp;$P13,'LISTE JOUEURS'!$P:$S,2,0),""))&amp; " "&amp;IF(P13="","",IFERROR(VLOOKUP($N$6&amp;$P13,'LISTE JOUEURS'!$P:$S,3,0),""))</f>
        <v xml:space="preserve"> </v>
      </c>
      <c r="R13" s="309"/>
      <c r="S13" s="309"/>
      <c r="T13" s="309"/>
      <c r="U13" s="306"/>
      <c r="V13" s="306"/>
      <c r="W13" s="306"/>
      <c r="X13" s="320" t="str">
        <f>IF(P13="","",IFERROR(VLOOKUP($N$6&amp;$P13,'LISTE JOUEURS'!$P:$U,4,0),500))</f>
        <v/>
      </c>
      <c r="Y13" s="516" t="str">
        <f>IF(P13="","",IFERROR(VLOOKUP($N$6&amp;$P13,'LISTE JOUEURS'!$P:$U,5,0),""))</f>
        <v/>
      </c>
      <c r="Z13" s="517"/>
      <c r="AA13" s="310"/>
      <c r="AC13" s="27" t="s">
        <v>420</v>
      </c>
      <c r="BO13" s="29" t="s">
        <v>32</v>
      </c>
      <c r="BP13" s="30" t="str">
        <f>'JEUNES (4)'!$D$2</f>
        <v/>
      </c>
      <c r="BQ13" s="31">
        <f>IFERROR(IF('JEUNES (4)'!L18=4,VLOOKUP('JEUNES (4)'!B6&amp;'JEUNES (4)'!B11,'LISTE JOUEURS'!$P:$U,6,0),VLOOKUP('JEUNES (4)'!N6&amp;'JEUNES (4)'!P11,'LISTE JOUEURS'!$P:$U,6,0)),0)</f>
        <v>0</v>
      </c>
      <c r="BR13" t="e">
        <f>+_xlfn.XLOOKUP(BQ13,'LISTE JOUEURS'!$U:$U,'LISTE JOUEURS'!$Q:$Q)&amp;" "&amp;_xlfn.XLOOKUP(BQ13,'LISTE JOUEURS'!$U:$U,'LISTE JOUEURS'!$R:$R)</f>
        <v>#N/A</v>
      </c>
    </row>
    <row r="14" spans="1:97" ht="16" customHeight="1" thickTop="1" x14ac:dyDescent="0.2">
      <c r="A14" s="27"/>
      <c r="C14" s="27"/>
      <c r="P14" s="27"/>
      <c r="Q14" s="27"/>
      <c r="R14" s="27"/>
      <c r="S14" s="27"/>
      <c r="T14" s="27"/>
      <c r="AC14" s="79" t="s">
        <v>419</v>
      </c>
      <c r="BM14" s="3"/>
      <c r="BN14" s="4"/>
      <c r="BO14" s="29" t="s">
        <v>33</v>
      </c>
      <c r="BP14" s="30" t="str">
        <f>'JEUNES (4)'!$D$2</f>
        <v/>
      </c>
      <c r="BQ14" s="31">
        <f>IFERROR(IF('JEUNES (4)'!L18=0,VLOOKUP('JEUNES (4)'!B6&amp;'JEUNES (4)'!B11,'LISTE JOUEURS'!$P:$U,6,0),VLOOKUP('JEUNES (4)'!N6&amp;'JEUNES (4)'!P11,'LISTE JOUEURS'!$P:$U,6,0)),0)</f>
        <v>0</v>
      </c>
      <c r="BR14" t="e">
        <f>+_xlfn.XLOOKUP(BQ14,'LISTE JOUEURS'!$U:$U,'LISTE JOUEURS'!$Q:$Q)&amp;" "&amp;_xlfn.XLOOKUP(BQ14,'LISTE JOUEURS'!$U:$U,'LISTE JOUEURS'!$R:$R)</f>
        <v>#N/A</v>
      </c>
    </row>
    <row r="15" spans="1:97" ht="16" customHeight="1" thickBot="1" x14ac:dyDescent="0.25">
      <c r="A15" s="27"/>
      <c r="B15" s="27"/>
      <c r="C15" s="27"/>
      <c r="F15" s="43"/>
      <c r="G15" s="45"/>
      <c r="H15" s="45"/>
      <c r="J15" s="27" t="s">
        <v>399</v>
      </c>
      <c r="P15" s="27"/>
      <c r="Q15" s="27"/>
      <c r="R15" s="27"/>
      <c r="S15" s="27"/>
      <c r="T15" s="27"/>
      <c r="BN15" s="25"/>
      <c r="BO15" s="29" t="s">
        <v>32</v>
      </c>
      <c r="BP15" s="30" t="str">
        <f>'JEUNES (4)'!$D$2</f>
        <v/>
      </c>
      <c r="BQ15" s="31">
        <f>IFERROR(IF('JEUNES (4)'!L19=4,VLOOKUP('JEUNES (4)'!B6&amp;'JEUNES (4)'!B11,'LISTE JOUEURS'!$P:$U,6,0),VLOOKUP('JEUNES (4)'!N6&amp;'JEUNES (4)'!P10,'LISTE JOUEURS'!$P:$U,6,0)),0)</f>
        <v>0</v>
      </c>
      <c r="BR15" t="e">
        <f>+_xlfn.XLOOKUP(BQ15,'LISTE JOUEURS'!$U:$U,'LISTE JOUEURS'!$Q:$Q)&amp;" "&amp;_xlfn.XLOOKUP(BQ15,'LISTE JOUEURS'!$U:$U,'LISTE JOUEURS'!$R:$R)</f>
        <v>#N/A</v>
      </c>
    </row>
    <row r="16" spans="1:97" ht="16" customHeight="1" thickTop="1" x14ac:dyDescent="0.25">
      <c r="A16" s="70" t="s">
        <v>12</v>
      </c>
      <c r="B16" s="72" t="s">
        <v>13</v>
      </c>
      <c r="C16" s="72" t="s">
        <v>14</v>
      </c>
      <c r="D16" s="72" t="s">
        <v>15</v>
      </c>
      <c r="E16" s="72" t="s">
        <v>16</v>
      </c>
      <c r="F16" s="97" t="str">
        <f>B6&amp;" "&amp;F6</f>
        <v xml:space="preserve"> </v>
      </c>
      <c r="G16" s="59"/>
      <c r="H16" s="59"/>
      <c r="I16" s="59"/>
      <c r="J16" s="59"/>
      <c r="K16" s="59"/>
      <c r="L16" s="71" t="s">
        <v>388</v>
      </c>
      <c r="M16" s="59"/>
      <c r="N16" s="71" t="s">
        <v>389</v>
      </c>
      <c r="O16" s="97" t="str">
        <f>N6&amp;" "&amp;R6</f>
        <v xml:space="preserve"> </v>
      </c>
      <c r="P16" s="97"/>
      <c r="Q16" s="97"/>
      <c r="R16" s="57"/>
      <c r="S16" s="57"/>
      <c r="T16" s="57"/>
      <c r="U16" s="99" t="s">
        <v>371</v>
      </c>
      <c r="V16" s="59"/>
      <c r="W16" s="59"/>
      <c r="X16" s="59"/>
      <c r="Y16" s="59"/>
      <c r="Z16" s="59"/>
      <c r="AA16" s="60"/>
      <c r="AC16" s="126" t="s">
        <v>158</v>
      </c>
      <c r="AD16" t="s">
        <v>134</v>
      </c>
      <c r="AI16" t="s">
        <v>997</v>
      </c>
      <c r="AJ16" t="s">
        <v>998</v>
      </c>
      <c r="AK16" t="s">
        <v>999</v>
      </c>
      <c r="AL16" t="s">
        <v>1000</v>
      </c>
      <c r="AM16" t="s">
        <v>1001</v>
      </c>
      <c r="AN16" t="s">
        <v>997</v>
      </c>
      <c r="AO16" t="s">
        <v>998</v>
      </c>
      <c r="AP16" t="s">
        <v>999</v>
      </c>
      <c r="AQ16" t="s">
        <v>1000</v>
      </c>
      <c r="AR16" t="s">
        <v>1001</v>
      </c>
      <c r="AS16" t="s">
        <v>997</v>
      </c>
      <c r="AT16" t="s">
        <v>998</v>
      </c>
      <c r="AU16" t="s">
        <v>999</v>
      </c>
      <c r="AV16" t="s">
        <v>1000</v>
      </c>
      <c r="AW16" t="s">
        <v>1001</v>
      </c>
      <c r="BN16" s="25"/>
      <c r="BO16" s="29" t="s">
        <v>33</v>
      </c>
      <c r="BP16" s="30" t="str">
        <f>'JEUNES (4)'!$D$2</f>
        <v/>
      </c>
      <c r="BQ16" s="31">
        <f>IFERROR(IF('JEUNES (4)'!L19=0,VLOOKUP('JEUNES (4)'!B6&amp;'JEUNES (4)'!B11,'LISTE JOUEURS'!$P:$U,6,0),VLOOKUP('JEUNES (4)'!N6&amp;'JEUNES (4)'!P10,'LISTE JOUEURS'!$P:$U,6,0)),0)</f>
        <v>0</v>
      </c>
      <c r="BR16" t="e">
        <f>+_xlfn.XLOOKUP(BQ16,'LISTE JOUEURS'!$U:$U,'LISTE JOUEURS'!$Q:$Q)&amp;" "&amp;_xlfn.XLOOKUP(BQ16,'LISTE JOUEURS'!$U:$U,'LISTE JOUEURS'!$R:$R)</f>
        <v>#N/A</v>
      </c>
    </row>
    <row r="17" spans="1:70" ht="25" customHeight="1" x14ac:dyDescent="0.2">
      <c r="A17" s="323"/>
      <c r="B17" s="324"/>
      <c r="C17" s="324"/>
      <c r="D17" s="324"/>
      <c r="E17" s="324"/>
      <c r="F17" s="293" t="str">
        <f>C10</f>
        <v xml:space="preserve"> </v>
      </c>
      <c r="G17" s="292"/>
      <c r="H17" s="292"/>
      <c r="I17" s="292"/>
      <c r="J17" s="292"/>
      <c r="K17" s="292"/>
      <c r="L17" s="325" t="str">
        <f>IF(ISNUMBER(A17),IF(OR(COUNTIF(A17:E17,"&gt;=0")&gt;3,COUNTIF(A17:E17,"&lt;0")&gt;3),"XXX",IF((COUNTIF(A17:E17,"&gt;=0")-COUNTIF(A17:E17,"&lt;0"))&lt;0,0,IF($I$3="SuperDiv",1,4))),IF(OR(RIGHT(F17,4)="W.O.",A17=-88,A17=-99),0,IF(OR(RIGHT(O17,4)="W.O.",A17=99,A17=88),IF($I$3="SuperDiv",1,4),"")))</f>
        <v/>
      </c>
      <c r="M17" s="326" t="s">
        <v>8</v>
      </c>
      <c r="N17" s="325" t="str">
        <f>IF(AND(ISNUMBER(A17),ISNUMBER(L17)),IF($I$3="SuperDiv",1-L17,4-L17),IF(O17="Forfait W.O.",0,IF(F17="Forfait W.O.",IF($I$3="SuperDiv",1,4),"")))</f>
        <v/>
      </c>
      <c r="O17" s="293" t="str">
        <f>+Q10</f>
        <v xml:space="preserve"> </v>
      </c>
      <c r="P17" s="292"/>
      <c r="Q17" s="292"/>
      <c r="R17" s="292"/>
      <c r="S17" s="292"/>
      <c r="T17" s="292"/>
      <c r="U17" s="327" t="str">
        <f>IF(OR(COUNTIF(A17:E17,"&gt;=0")&gt;3,COUNTIF(A17:E17,"&lt;0")&gt;3),"Sets mal notés. Refaire la saisie svp",IF(ABS(A17)=99,"Abandon avant le début de la partie",IF(ABS(A17)=88,"Abandon en cours de partie"," ")))</f>
        <v xml:space="preserve"> </v>
      </c>
      <c r="V17" s="293"/>
      <c r="W17" s="293"/>
      <c r="X17" s="293"/>
      <c r="Y17" s="293"/>
      <c r="Z17" s="293"/>
      <c r="AA17" s="296"/>
      <c r="AI17">
        <f t="shared" ref="AI17:AM21" si="0">IF(A17&gt;0,1,IF(A17&lt;0,-1,0))</f>
        <v>0</v>
      </c>
      <c r="AJ17">
        <f t="shared" si="0"/>
        <v>0</v>
      </c>
      <c r="AK17">
        <f t="shared" si="0"/>
        <v>0</v>
      </c>
      <c r="AL17">
        <f t="shared" si="0"/>
        <v>0</v>
      </c>
      <c r="AM17">
        <f t="shared" si="0"/>
        <v>0</v>
      </c>
      <c r="AN17" s="3">
        <f t="shared" ref="AN17:AR21" si="1">IF(AND(A17&gt;0,A17&lt;10),11,IF(AND(A17&gt;0,A17&gt;9),A17+2,IF(AND(A17&lt;0,A17&gt;-10),-11,IF(AND(A17&lt;0,A17&lt;-9),A17-2,0))))</f>
        <v>0</v>
      </c>
      <c r="AO17" s="3">
        <f t="shared" si="1"/>
        <v>0</v>
      </c>
      <c r="AP17" s="3">
        <f t="shared" si="1"/>
        <v>0</v>
      </c>
      <c r="AQ17" s="3">
        <f t="shared" si="1"/>
        <v>0</v>
      </c>
      <c r="AR17" s="3">
        <f t="shared" si="1"/>
        <v>0</v>
      </c>
      <c r="AS17" s="202">
        <f t="shared" ref="AS17:AW21" si="2">-A17</f>
        <v>0</v>
      </c>
      <c r="AT17" s="202">
        <f t="shared" si="2"/>
        <v>0</v>
      </c>
      <c r="AU17" s="202">
        <f t="shared" si="2"/>
        <v>0</v>
      </c>
      <c r="AV17" s="202">
        <f t="shared" si="2"/>
        <v>0</v>
      </c>
      <c r="AW17" s="202">
        <f t="shared" si="2"/>
        <v>0</v>
      </c>
      <c r="AX17"/>
      <c r="AY17"/>
      <c r="AZ17"/>
      <c r="BA17"/>
      <c r="BB17"/>
      <c r="BC17"/>
      <c r="BD17"/>
      <c r="BE17"/>
      <c r="BF17"/>
      <c r="BG17"/>
      <c r="BO17" s="29" t="s">
        <v>32</v>
      </c>
      <c r="BP17" s="30" t="str">
        <f>'JEUNES (4)'!$D$2</f>
        <v/>
      </c>
      <c r="BQ17" s="31">
        <f>IFERROR(IF('JEUNES (4)'!L20=4,VLOOKUP('JEUNES (4)'!B6&amp;'JEUNES (4)'!B10,'LISTE JOUEURS'!$P:$U,6,0),VLOOKUP('JEUNES (4)'!N6&amp;'JEUNES (4)'!P11,'LISTE JOUEURS'!$P:$U,6,0)),0)</f>
        <v>0</v>
      </c>
      <c r="BR17" t="e">
        <f>+_xlfn.XLOOKUP(BQ17,'LISTE JOUEURS'!$U:$U,'LISTE JOUEURS'!$Q:$Q)&amp;" "&amp;_xlfn.XLOOKUP(BQ17,'LISTE JOUEURS'!$U:$U,'LISTE JOUEURS'!$R:$R)</f>
        <v>#N/A</v>
      </c>
    </row>
    <row r="18" spans="1:70" x14ac:dyDescent="0.2">
      <c r="A18" s="328"/>
      <c r="B18" s="329"/>
      <c r="C18" s="329"/>
      <c r="D18" s="329"/>
      <c r="E18" s="330"/>
      <c r="F18" s="302" t="str">
        <f>C11</f>
        <v xml:space="preserve"> </v>
      </c>
      <c r="G18" s="302"/>
      <c r="H18" s="302"/>
      <c r="I18" s="302"/>
      <c r="J18" s="302"/>
      <c r="K18" s="302"/>
      <c r="L18" s="331" t="str">
        <f>IF(ISNUMBER(A18),IF(OR(COUNTIF(A18:E18,"&gt;=0")&gt;3,COUNTIF(A18:E18,"&lt;0")&gt;3),"XXX",IF((COUNTIF(A18:E18,"&gt;=0")-COUNTIF(A18:E18,"&lt;0"))&lt;0,0,IF($I$3="SuperDiv",1,4))),IF(OR(RIGHT(F18,4)="W.O.",A18=-88,A18=-99),0,IF(OR(RIGHT(O18,4)="W.O.",A18=99,A18=88),IF($I$3="SuperDiv",1,4),"")))</f>
        <v/>
      </c>
      <c r="M18" s="332" t="s">
        <v>9</v>
      </c>
      <c r="N18" s="331" t="str">
        <f>IF(AND(ISNUMBER(A18),ISNUMBER(L18)),IF($I$3="SuperDiv",1-L18,4-L18),IF(O18="Forfait W.O.",0,IF(F18="Forfait W.O.",IF($I$3="SuperDiv",1,4),"")))</f>
        <v/>
      </c>
      <c r="O18" s="302" t="str">
        <f>+Q11</f>
        <v xml:space="preserve"> </v>
      </c>
      <c r="P18" s="299"/>
      <c r="Q18" s="299"/>
      <c r="R18" s="299"/>
      <c r="S18" s="299"/>
      <c r="T18" s="299"/>
      <c r="U18" s="333" t="str">
        <f>IF(OR(COUNTIF(A18:E18,"&gt;=0")&gt;3,COUNTIF(A18:E18,"&lt;0")&gt;3),"Sets mal notés. Refaire la saisie svp",IF(ABS(A18)=99,"Abandon avant le début de la partie",IF(ABS(A18)=88,"Abandon en cours de partie"," ")))</f>
        <v xml:space="preserve"> </v>
      </c>
      <c r="V18" s="299"/>
      <c r="W18" s="302"/>
      <c r="X18" s="302"/>
      <c r="Y18" s="302"/>
      <c r="Z18" s="302"/>
      <c r="AA18" s="303"/>
      <c r="AC18" s="125" t="s">
        <v>25</v>
      </c>
      <c r="AD18" s="125" t="s">
        <v>26</v>
      </c>
      <c r="AE18" s="125" t="s">
        <v>370</v>
      </c>
      <c r="AF18" s="173" t="s">
        <v>489</v>
      </c>
      <c r="AI18">
        <f t="shared" si="0"/>
        <v>0</v>
      </c>
      <c r="AJ18">
        <f t="shared" si="0"/>
        <v>0</v>
      </c>
      <c r="AK18">
        <f t="shared" si="0"/>
        <v>0</v>
      </c>
      <c r="AL18">
        <f t="shared" si="0"/>
        <v>0</v>
      </c>
      <c r="AM18">
        <f t="shared" si="0"/>
        <v>0</v>
      </c>
      <c r="AN18" s="3">
        <f t="shared" si="1"/>
        <v>0</v>
      </c>
      <c r="AO18" s="3">
        <f t="shared" si="1"/>
        <v>0</v>
      </c>
      <c r="AP18" s="3">
        <f t="shared" si="1"/>
        <v>0</v>
      </c>
      <c r="AQ18" s="3">
        <f t="shared" si="1"/>
        <v>0</v>
      </c>
      <c r="AR18" s="3">
        <f t="shared" si="1"/>
        <v>0</v>
      </c>
      <c r="AS18" s="202">
        <f t="shared" si="2"/>
        <v>0</v>
      </c>
      <c r="AT18" s="202">
        <f t="shared" si="2"/>
        <v>0</v>
      </c>
      <c r="AU18" s="202">
        <f t="shared" si="2"/>
        <v>0</v>
      </c>
      <c r="AV18" s="202">
        <f t="shared" si="2"/>
        <v>0</v>
      </c>
      <c r="AW18" s="202">
        <f t="shared" si="2"/>
        <v>0</v>
      </c>
      <c r="AX18"/>
      <c r="AY18"/>
      <c r="AZ18"/>
      <c r="BA18"/>
      <c r="BB18"/>
      <c r="BC18"/>
      <c r="BD18"/>
      <c r="BE18"/>
      <c r="BF18"/>
      <c r="BG18"/>
      <c r="BO18" s="29" t="s">
        <v>33</v>
      </c>
      <c r="BP18" s="30" t="str">
        <f>'JEUNES (4)'!$D$2</f>
        <v/>
      </c>
      <c r="BQ18" s="31">
        <f>IFERROR(IF('JEUNES (4)'!L20=0,VLOOKUP('JEUNES (4)'!B6&amp;'JEUNES (4)'!B10,'LISTE JOUEURS'!$P:$U,6,0),VLOOKUP('JEUNES (4)'!N6&amp;'JEUNES (4)'!P11,'LISTE JOUEURS'!$P:$U,6,0)),0)</f>
        <v>0</v>
      </c>
      <c r="BR18" t="e">
        <f>+_xlfn.XLOOKUP(BQ18,'LISTE JOUEURS'!$U:$U,'LISTE JOUEURS'!$Q:$Q)&amp;" "&amp;_xlfn.XLOOKUP(BQ18,'LISTE JOUEURS'!$U:$U,'LISTE JOUEURS'!$R:$R)</f>
        <v>#N/A</v>
      </c>
    </row>
    <row r="19" spans="1:70" x14ac:dyDescent="0.2">
      <c r="A19" s="328"/>
      <c r="B19" s="329"/>
      <c r="C19" s="329"/>
      <c r="D19" s="329"/>
      <c r="E19" s="330"/>
      <c r="F19" s="302" t="str">
        <f>C11</f>
        <v xml:space="preserve"> </v>
      </c>
      <c r="G19" s="302"/>
      <c r="H19" s="302"/>
      <c r="I19" s="302"/>
      <c r="J19" s="302"/>
      <c r="K19" s="302"/>
      <c r="L19" s="331" t="str">
        <f>IF(ISNUMBER(A19),IF(OR(COUNTIF(A19:E19,"&gt;=0")&gt;3,COUNTIF(A19:E19,"&lt;0")&gt;3),"XXX",IF((COUNTIF(A19:E19,"&gt;=0")-COUNTIF(A19:E19,"&lt;0"))&lt;0,0,IF($I$3="SuperDiv",1,4))),IF(OR(RIGHT(F19,4)="W.O.",A19=-88,A19=-99),0,IF(OR(RIGHT(O19,4)="W.O.",A19=99,A19=88),IF($I$3="SuperDiv",1,4),"")))</f>
        <v/>
      </c>
      <c r="M19" s="332" t="s">
        <v>10</v>
      </c>
      <c r="N19" s="331" t="str">
        <f>IF(AND(ISNUMBER(A19),ISNUMBER(L19)),IF($I$3="SuperDiv",1-L19,4-L19),IF(O19="Forfait W.O.",0,IF(F19="Forfait W.O.",IF($I$3="SuperDiv",1,4),"")))</f>
        <v/>
      </c>
      <c r="O19" s="302" t="str">
        <f>+Q10</f>
        <v xml:space="preserve"> </v>
      </c>
      <c r="P19" s="299"/>
      <c r="Q19" s="299"/>
      <c r="R19" s="299"/>
      <c r="S19" s="299"/>
      <c r="T19" s="299"/>
      <c r="U19" s="333" t="str">
        <f>IF(OR(COUNTIF(A19:E19,"&gt;=0")&gt;3,COUNTIF(A19:E19,"&lt;0")&gt;3),"Sets mal notés. Refaire la saisie svp",IF(ABS(A19)=99,"Abandon avant le début de la partie",IF(ABS(A19)=88,"Abandon en cours de partie"," ")))</f>
        <v xml:space="preserve"> </v>
      </c>
      <c r="V19" s="302"/>
      <c r="W19" s="302"/>
      <c r="X19" s="302"/>
      <c r="Y19" s="302"/>
      <c r="Z19" s="302"/>
      <c r="AA19" s="303"/>
      <c r="AC19" s="3" t="s">
        <v>1207</v>
      </c>
      <c r="AD19" t="s">
        <v>317</v>
      </c>
      <c r="AE19" s="9">
        <v>1</v>
      </c>
      <c r="AF19" t="s">
        <v>1856</v>
      </c>
      <c r="AI19">
        <f t="shared" si="0"/>
        <v>0</v>
      </c>
      <c r="AJ19">
        <f t="shared" si="0"/>
        <v>0</v>
      </c>
      <c r="AK19">
        <f t="shared" si="0"/>
        <v>0</v>
      </c>
      <c r="AL19">
        <f t="shared" si="0"/>
        <v>0</v>
      </c>
      <c r="AM19">
        <f t="shared" si="0"/>
        <v>0</v>
      </c>
      <c r="AN19" s="3">
        <f t="shared" si="1"/>
        <v>0</v>
      </c>
      <c r="AO19" s="3">
        <f t="shared" si="1"/>
        <v>0</v>
      </c>
      <c r="AP19" s="3">
        <f t="shared" si="1"/>
        <v>0</v>
      </c>
      <c r="AQ19" s="3">
        <f t="shared" si="1"/>
        <v>0</v>
      </c>
      <c r="AR19" s="3">
        <f t="shared" si="1"/>
        <v>0</v>
      </c>
      <c r="AS19" s="202">
        <f t="shared" si="2"/>
        <v>0</v>
      </c>
      <c r="AT19" s="202">
        <f t="shared" si="2"/>
        <v>0</v>
      </c>
      <c r="AU19" s="202">
        <f t="shared" si="2"/>
        <v>0</v>
      </c>
      <c r="AV19" s="202">
        <f t="shared" si="2"/>
        <v>0</v>
      </c>
      <c r="AW19" s="202">
        <f t="shared" si="2"/>
        <v>0</v>
      </c>
      <c r="AX19"/>
      <c r="AY19"/>
      <c r="AZ19"/>
      <c r="BA19"/>
      <c r="BB19"/>
      <c r="BC19"/>
      <c r="BD19"/>
      <c r="BE19"/>
      <c r="BF19"/>
      <c r="BG19"/>
      <c r="BO19" s="29" t="s">
        <v>32</v>
      </c>
      <c r="BP19" s="30" t="str">
        <f>'JEUNES (4)'!$D$2</f>
        <v/>
      </c>
      <c r="BQ19" s="31">
        <f>IFERROR(IF('JEUNES (4)'!L27=3,VLOOKUP('JEUNES (4)'!B6&amp;'JEUNES (4)'!B12,'LISTE JOUEURS'!$P:$U,6,0),VLOOKUP('JEUNES (4)'!N6&amp;'JEUNES (4)'!P12,'LISTE JOUEURS'!$P:$U,6,0)),0)</f>
        <v>0</v>
      </c>
      <c r="BR19" t="e">
        <f>+_xlfn.XLOOKUP(BQ19,'LISTE JOUEURS'!$U:$U,'LISTE JOUEURS'!$Q:$Q)&amp;" "&amp;_xlfn.XLOOKUP(BQ19,'LISTE JOUEURS'!$U:$U,'LISTE JOUEURS'!$R:$R)</f>
        <v>#N/A</v>
      </c>
    </row>
    <row r="20" spans="1:70" x14ac:dyDescent="0.2">
      <c r="A20" s="328"/>
      <c r="B20" s="329"/>
      <c r="C20" s="329"/>
      <c r="D20" s="329"/>
      <c r="E20" s="330"/>
      <c r="F20" s="302" t="str">
        <f>C10</f>
        <v xml:space="preserve"> </v>
      </c>
      <c r="G20" s="302"/>
      <c r="H20" s="302"/>
      <c r="I20" s="302"/>
      <c r="J20" s="302"/>
      <c r="K20" s="302"/>
      <c r="L20" s="331" t="str">
        <f>IF(ISNUMBER(A20),IF(OR(COUNTIF(A20:E20,"&gt;=0")&gt;3,COUNTIF(A20:E20,"&lt;0")&gt;3),"XXX",IF((COUNTIF(A20:E20,"&gt;=0")-COUNTIF(A20:E20,"&lt;0"))&lt;0,0,IF($I$3="SuperDiv",1,4))),IF(OR(RIGHT(F20,4)="W.O.",A20=-88,A20=-99),0,IF(OR(RIGHT(O20,4)="W.O.",A20=99,A20=88),IF($I$3="SuperDiv",1,4),"")))</f>
        <v/>
      </c>
      <c r="M20" s="332" t="s">
        <v>11</v>
      </c>
      <c r="N20" s="331" t="str">
        <f>IF(AND(ISNUMBER(A20),ISNUMBER(L20)),IF($I$3="SuperDiv",1-L20,4-L20),IF(O20="Forfait W.O.",0,IF(F20="Forfait W.O.",IF($I$3="SuperDiv",1,4),"")))</f>
        <v/>
      </c>
      <c r="O20" s="302" t="str">
        <f>+Q11</f>
        <v xml:space="preserve"> </v>
      </c>
      <c r="P20" s="299"/>
      <c r="Q20" s="299"/>
      <c r="R20" s="299"/>
      <c r="S20" s="299"/>
      <c r="T20" s="299"/>
      <c r="U20" s="333" t="str">
        <f>IF(OR(COUNTIF(A20:E20,"&gt;=0")&gt;3,COUNTIF(A20:E20,"&lt;0")&gt;3),"Sets mal notés. Refaire la saisie svp",IF(ABS(A20)=99,"Abandon avant le début de la partie",IF(ABS(A20)=88,"Abandon en cours de partie"," ")))</f>
        <v xml:space="preserve"> </v>
      </c>
      <c r="V20" s="302"/>
      <c r="W20" s="302"/>
      <c r="X20" s="302"/>
      <c r="Y20" s="302"/>
      <c r="Z20" s="302"/>
      <c r="AA20" s="303"/>
      <c r="AC20" s="3" t="s">
        <v>1194</v>
      </c>
      <c r="AD20" t="s">
        <v>1308</v>
      </c>
      <c r="AE20" s="9">
        <v>2</v>
      </c>
      <c r="AF20" t="s">
        <v>1856</v>
      </c>
      <c r="AI20">
        <f t="shared" si="0"/>
        <v>0</v>
      </c>
      <c r="AJ20">
        <f t="shared" si="0"/>
        <v>0</v>
      </c>
      <c r="AK20">
        <f t="shared" si="0"/>
        <v>0</v>
      </c>
      <c r="AL20">
        <f t="shared" si="0"/>
        <v>0</v>
      </c>
      <c r="AM20">
        <f t="shared" si="0"/>
        <v>0</v>
      </c>
      <c r="AN20" s="3">
        <f t="shared" si="1"/>
        <v>0</v>
      </c>
      <c r="AO20" s="3">
        <f t="shared" si="1"/>
        <v>0</v>
      </c>
      <c r="AP20" s="3">
        <f t="shared" si="1"/>
        <v>0</v>
      </c>
      <c r="AQ20" s="3">
        <f t="shared" si="1"/>
        <v>0</v>
      </c>
      <c r="AR20" s="3">
        <f t="shared" si="1"/>
        <v>0</v>
      </c>
      <c r="AS20" s="202">
        <f t="shared" si="2"/>
        <v>0</v>
      </c>
      <c r="AT20" s="202">
        <f t="shared" si="2"/>
        <v>0</v>
      </c>
      <c r="AU20" s="202">
        <f t="shared" si="2"/>
        <v>0</v>
      </c>
      <c r="AV20" s="202">
        <f t="shared" si="2"/>
        <v>0</v>
      </c>
      <c r="AW20" s="202">
        <f t="shared" si="2"/>
        <v>0</v>
      </c>
      <c r="AX20"/>
      <c r="AY20"/>
      <c r="AZ20"/>
      <c r="BA20"/>
      <c r="BB20"/>
      <c r="BC20"/>
      <c r="BD20"/>
      <c r="BE20"/>
      <c r="BF20"/>
      <c r="BG20"/>
      <c r="BO20" s="29" t="s">
        <v>33</v>
      </c>
      <c r="BP20" s="30" t="str">
        <f>'JEUNES (4)'!$D$2</f>
        <v/>
      </c>
      <c r="BQ20" s="31">
        <f>IFERROR(IF('JEUNES (4)'!L27=0,VLOOKUP('JEUNES (4)'!B6&amp;'JEUNES (4)'!B12,'LISTE JOUEURS'!$P:$U,6,0),VLOOKUP('JEUNES (4)'!N6&amp;'JEUNES (4)'!P12,'LISTE JOUEURS'!$P:$U,6,0)),0)</f>
        <v>0</v>
      </c>
      <c r="BR20" t="e">
        <f>+_xlfn.XLOOKUP(BQ20,'LISTE JOUEURS'!$U:$U,'LISTE JOUEURS'!$Q:$Q)&amp;" "&amp;_xlfn.XLOOKUP(BQ20,'LISTE JOUEURS'!$U:$U,'LISTE JOUEURS'!$R:$R)</f>
        <v>#N/A</v>
      </c>
    </row>
    <row r="21" spans="1:70" ht="17" thickBot="1" x14ac:dyDescent="0.25">
      <c r="A21" s="334"/>
      <c r="B21" s="335"/>
      <c r="C21" s="335"/>
      <c r="D21" s="335"/>
      <c r="E21" s="335"/>
      <c r="F21" s="306" t="str">
        <f>IF(OR(F17="Forfait W.O.",F18="Forfait W.O."),B6&amp;" "&amp;F6&amp;" W.O.",B6&amp;" "&amp;F6)</f>
        <v xml:space="preserve"> </v>
      </c>
      <c r="G21" s="306"/>
      <c r="H21" s="306"/>
      <c r="I21" s="306"/>
      <c r="J21" s="306"/>
      <c r="K21" s="306"/>
      <c r="L21" s="336" t="str">
        <f>IF(ISNUMBER(A21),IF(OR(COUNTIF(A21:E21,"&gt;=0")&gt;3,COUNTIF(A21:E21,"&lt;0")&gt;3),"XXX",IF((COUNTIF(A21:E21,"&gt;=0")-COUNTIF(A21:E21,"&lt;0"))&lt;0,0,IF($I$3="SuperDiv",2,6))),IF(OR(RIGHT(F21,4)="W.O.",A21=-88,A21=-99),0,IF(OR(RIGHT(O21,4)="W.O.",A21=99,A21=88),IF($I$3="SuperDiv",2,6),"")))</f>
        <v/>
      </c>
      <c r="M21" s="337" t="s">
        <v>21</v>
      </c>
      <c r="N21" s="336" t="str">
        <f>IF(AND(ISNUMBER(A21),ISNUMBER(L21)),IF($I$3="SuperDiv",2-L21,6-L21),IF(RIGHT(O21,4)="W.O.",0,IF(RIGHT(F21,4)="W.O.",IF($I$3="SuperDiv",2,6),"")))</f>
        <v/>
      </c>
      <c r="O21" s="306" t="str">
        <f>IF(OR(O17="Forfait W.O.",O18="Forfait W.O."),N6&amp;" "&amp;R6&amp;" W.O.",N6&amp;" "&amp;R6)</f>
        <v xml:space="preserve"> </v>
      </c>
      <c r="P21" s="309"/>
      <c r="Q21" s="309"/>
      <c r="R21" s="309"/>
      <c r="S21" s="309"/>
      <c r="T21" s="309"/>
      <c r="U21" s="338" t="str">
        <f>IF(OR(COUNTIF(A21:E21,"&gt;=0")&gt;3,COUNTIF(A21:E21,"&lt;0")&gt;3),"Sets mal notés. Refaire la saisie svp",IF(ABS(A21)=99,"Abandon avant le début de la partie",IF(ABS(A21)=88,"Abandon en cours de partie"," ")))</f>
        <v xml:space="preserve"> </v>
      </c>
      <c r="V21" s="306"/>
      <c r="W21" s="306"/>
      <c r="X21" s="306"/>
      <c r="Y21" s="306"/>
      <c r="Z21" s="306"/>
      <c r="AA21" s="310"/>
      <c r="AC21" s="3" t="s">
        <v>1195</v>
      </c>
      <c r="AD21" t="s">
        <v>719</v>
      </c>
      <c r="AE21" s="9">
        <v>3</v>
      </c>
      <c r="AF21" t="s">
        <v>1856</v>
      </c>
      <c r="AI21">
        <f t="shared" si="0"/>
        <v>0</v>
      </c>
      <c r="AJ21">
        <f t="shared" si="0"/>
        <v>0</v>
      </c>
      <c r="AK21">
        <f t="shared" si="0"/>
        <v>0</v>
      </c>
      <c r="AL21">
        <f t="shared" si="0"/>
        <v>0</v>
      </c>
      <c r="AM21">
        <f t="shared" si="0"/>
        <v>0</v>
      </c>
      <c r="AN21" s="3">
        <f t="shared" si="1"/>
        <v>0</v>
      </c>
      <c r="AO21" s="3">
        <f t="shared" si="1"/>
        <v>0</v>
      </c>
      <c r="AP21" s="3">
        <f t="shared" si="1"/>
        <v>0</v>
      </c>
      <c r="AQ21" s="3">
        <f t="shared" si="1"/>
        <v>0</v>
      </c>
      <c r="AR21" s="3">
        <f t="shared" si="1"/>
        <v>0</v>
      </c>
      <c r="AS21" s="202">
        <f t="shared" si="2"/>
        <v>0</v>
      </c>
      <c r="AT21" s="202">
        <f t="shared" si="2"/>
        <v>0</v>
      </c>
      <c r="AU21" s="202">
        <f t="shared" si="2"/>
        <v>0</v>
      </c>
      <c r="AV21" s="202">
        <f t="shared" si="2"/>
        <v>0</v>
      </c>
      <c r="AW21" s="202">
        <f t="shared" si="2"/>
        <v>0</v>
      </c>
      <c r="AX21"/>
      <c r="AY21"/>
      <c r="AZ21"/>
      <c r="BA21"/>
      <c r="BB21"/>
      <c r="BC21"/>
      <c r="BD21"/>
      <c r="BE21"/>
      <c r="BF21"/>
      <c r="BG21"/>
      <c r="BM21" t="s">
        <v>380</v>
      </c>
      <c r="BN21" t="s">
        <v>251</v>
      </c>
      <c r="BO21" s="29" t="s">
        <v>32</v>
      </c>
      <c r="BP21" s="30" t="str">
        <f>'JEUNES (4)'!$D$2</f>
        <v/>
      </c>
      <c r="BQ21" s="31">
        <f>IFERROR(IF('JEUNES (4)'!L28=3,VLOOKUP('JEUNES (4)'!B6&amp;'JEUNES (4)'!B13,'LISTE JOUEURS'!$P:$U,6,0),VLOOKUP('JEUNES (4)'!N6&amp;'JEUNES (4)'!P13,'LISTE JOUEURS'!$P:$U,6,0)),0)</f>
        <v>0</v>
      </c>
      <c r="BR21" t="e">
        <f>+_xlfn.XLOOKUP(BQ21,'LISTE JOUEURS'!$U:$U,'LISTE JOUEURS'!$Q:$Q)&amp;" "&amp;_xlfn.XLOOKUP(BQ21,'LISTE JOUEURS'!$U:$U,'LISTE JOUEURS'!$R:$R)</f>
        <v>#N/A</v>
      </c>
    </row>
    <row r="22" spans="1:70" ht="17" thickTop="1" x14ac:dyDescent="0.2">
      <c r="P22" s="27"/>
      <c r="Q22" s="27"/>
      <c r="R22" s="27"/>
      <c r="S22" s="27"/>
      <c r="T22" s="27"/>
      <c r="AC22" s="3" t="s">
        <v>2034</v>
      </c>
      <c r="AD22" t="s">
        <v>2035</v>
      </c>
      <c r="AE22" s="9">
        <v>4</v>
      </c>
      <c r="AF22" t="s">
        <v>1643</v>
      </c>
      <c r="AL22" s="3"/>
      <c r="AM22" s="3"/>
      <c r="AX22"/>
      <c r="AY22"/>
      <c r="AZ22"/>
      <c r="BA22"/>
      <c r="BB22"/>
      <c r="BC22"/>
      <c r="BD22"/>
      <c r="BE22"/>
      <c r="BF22"/>
      <c r="BG22"/>
      <c r="BN22" t="s">
        <v>252</v>
      </c>
      <c r="BO22" s="29" t="s">
        <v>33</v>
      </c>
      <c r="BP22" s="30" t="str">
        <f>'JEUNES (4)'!$D$2</f>
        <v/>
      </c>
      <c r="BQ22" s="31">
        <f>IFERROR(IF('JEUNES (4)'!L28=0,VLOOKUP('JEUNES (4)'!B6&amp;'JEUNES (4)'!B13,'LISTE JOUEURS'!$P:$U,6,0),VLOOKUP('JEUNES (4)'!N6&amp;'JEUNES (4)'!P13,'LISTE JOUEURS'!$P:$U,6,0)),0)</f>
        <v>0</v>
      </c>
      <c r="BR22" t="e">
        <f>+_xlfn.XLOOKUP(BQ22,'LISTE JOUEURS'!$U:$U,'LISTE JOUEURS'!$Q:$Q)&amp;" "&amp;_xlfn.XLOOKUP(BQ22,'LISTE JOUEURS'!$U:$U,'LISTE JOUEURS'!$R:$R)</f>
        <v>#N/A</v>
      </c>
    </row>
    <row r="23" spans="1:70" ht="19" x14ac:dyDescent="0.25">
      <c r="I23" s="113" t="s">
        <v>390</v>
      </c>
      <c r="J23" s="103"/>
      <c r="K23" s="103"/>
      <c r="L23" s="104">
        <f>SUM(L17:L21)</f>
        <v>0</v>
      </c>
      <c r="M23" s="105"/>
      <c r="N23" s="106">
        <f>SUM(N17:N21)</f>
        <v>0</v>
      </c>
      <c r="P23" s="27"/>
      <c r="Q23" s="27"/>
      <c r="R23" s="27"/>
      <c r="S23" s="27"/>
      <c r="T23" s="27"/>
      <c r="AC23" s="3" t="s">
        <v>74</v>
      </c>
      <c r="AD23" t="s">
        <v>310</v>
      </c>
      <c r="AE23" s="9">
        <v>5</v>
      </c>
      <c r="AF23" t="s">
        <v>1856</v>
      </c>
      <c r="AL23" s="3"/>
      <c r="AM23" s="3"/>
      <c r="AX23"/>
      <c r="AY23"/>
      <c r="AZ23"/>
      <c r="BA23"/>
      <c r="BB23"/>
      <c r="BC23"/>
      <c r="BD23"/>
      <c r="BE23"/>
      <c r="BF23"/>
      <c r="BG23"/>
      <c r="BO23" s="29" t="s">
        <v>32</v>
      </c>
      <c r="BP23" s="30" t="str">
        <f>'JEUNES (4)'!$D$2</f>
        <v/>
      </c>
      <c r="BQ23" s="31">
        <f>IFERROR(IF('JEUNES (4)'!L30=3,VLOOKUP('JEUNES (4)'!B6&amp;'JEUNES (4)'!B13,'LISTE JOUEURS'!$P:$U,6,0),VLOOKUP('JEUNES (4)'!N6&amp;'JEUNES (4)'!P12,'LISTE JOUEURS'!$P:$U,6,0)),0)</f>
        <v>0</v>
      </c>
      <c r="BR23" t="e">
        <f>+_xlfn.XLOOKUP(BQ23,'LISTE JOUEURS'!$U:$U,'LISTE JOUEURS'!$Q:$Q)&amp;" "&amp;_xlfn.XLOOKUP(BQ23,'LISTE JOUEURS'!$U:$U,'LISTE JOUEURS'!$R:$R)</f>
        <v>#N/A</v>
      </c>
    </row>
    <row r="24" spans="1:70" x14ac:dyDescent="0.2">
      <c r="A24" s="27"/>
      <c r="B24" s="27"/>
      <c r="C24" s="27"/>
      <c r="D24" s="27"/>
      <c r="P24" s="27"/>
      <c r="Q24" s="27"/>
      <c r="R24" s="27"/>
      <c r="S24" s="27"/>
      <c r="T24" s="27"/>
      <c r="V24" s="27"/>
      <c r="W24" s="27"/>
      <c r="AC24" s="3"/>
      <c r="AD24" t="s">
        <v>319</v>
      </c>
      <c r="AE24" s="9">
        <v>6</v>
      </c>
      <c r="AF24" t="s">
        <v>1856</v>
      </c>
      <c r="AL24" s="3"/>
      <c r="AM24" s="3"/>
      <c r="AX24"/>
      <c r="AY24"/>
      <c r="AZ24"/>
      <c r="BA24"/>
      <c r="BB24"/>
      <c r="BC24"/>
      <c r="BD24"/>
      <c r="BE24"/>
      <c r="BF24"/>
      <c r="BG24"/>
      <c r="BO24" s="29" t="s">
        <v>33</v>
      </c>
      <c r="BP24" s="30" t="str">
        <f>'JEUNES (4)'!$D$2</f>
        <v/>
      </c>
      <c r="BQ24" s="31">
        <f>IFERROR(IF('JEUNES (4)'!L30=0,VLOOKUP('JEUNES (4)'!B6&amp;'JEUNES (4)'!B13,'LISTE JOUEURS'!$P:$U,6,0),VLOOKUP('JEUNES (4)'!N6&amp;'JEUNES (4)'!P12,'LISTE JOUEURS'!$P:$U,6,0)),0)</f>
        <v>0</v>
      </c>
      <c r="BR24" t="e">
        <f>+_xlfn.XLOOKUP(BQ24,'LISTE JOUEURS'!$U:$U,'LISTE JOUEURS'!$Q:$Q)&amp;" "&amp;_xlfn.XLOOKUP(BQ24,'LISTE JOUEURS'!$U:$U,'LISTE JOUEURS'!$R:$R)</f>
        <v>#N/A</v>
      </c>
    </row>
    <row r="25" spans="1:70" ht="17" thickBot="1" x14ac:dyDescent="0.25">
      <c r="A25" s="27"/>
      <c r="B25" s="27"/>
      <c r="C25" s="27"/>
      <c r="D25" s="27"/>
      <c r="E25" s="27"/>
      <c r="G25" s="87"/>
      <c r="H25" s="87"/>
      <c r="I25" s="27"/>
      <c r="J25" s="27" t="s">
        <v>400</v>
      </c>
      <c r="K25" s="27"/>
      <c r="L25" s="27"/>
      <c r="M25" s="27"/>
      <c r="N25" s="87"/>
      <c r="O25" s="87"/>
      <c r="P25" s="27"/>
      <c r="Q25" s="27"/>
      <c r="R25" s="27"/>
      <c r="S25" s="27"/>
      <c r="T25" s="27"/>
      <c r="AC25" s="3" t="s">
        <v>927</v>
      </c>
      <c r="AD25" t="s">
        <v>585</v>
      </c>
      <c r="AE25" s="9">
        <v>7</v>
      </c>
      <c r="AF25" t="s">
        <v>1643</v>
      </c>
      <c r="AL25" s="3"/>
      <c r="AM25" s="3"/>
      <c r="AU25"/>
      <c r="AV25"/>
      <c r="AW25"/>
      <c r="AX25"/>
      <c r="AY25"/>
      <c r="AZ25"/>
      <c r="BA25"/>
      <c r="BB25"/>
      <c r="BC25"/>
      <c r="BD25"/>
      <c r="BE25"/>
      <c r="BF25"/>
      <c r="BG25"/>
      <c r="BO25" s="29" t="s">
        <v>32</v>
      </c>
      <c r="BP25" s="30" t="str">
        <f>'JEUNES (4)'!$D$2</f>
        <v/>
      </c>
      <c r="BQ25" s="31">
        <f>IFERROR(IF('JEUNES (4)'!L31=3,VLOOKUP('JEUNES (4)'!B6&amp;'JEUNES (4)'!B12,'LISTE JOUEURS'!$P:$U,6,0),VLOOKUP('JEUNES (4)'!N6&amp;'JEUNES (4)'!P13,'LISTE JOUEURS'!$P:$U,6,0)),0)</f>
        <v>0</v>
      </c>
      <c r="BR25" t="e">
        <f>+_xlfn.XLOOKUP(BQ25,'LISTE JOUEURS'!$U:$U,'LISTE JOUEURS'!$Q:$Q)&amp;" "&amp;_xlfn.XLOOKUP(BQ25,'LISTE JOUEURS'!$U:$U,'LISTE JOUEURS'!$R:$R)</f>
        <v>#N/A</v>
      </c>
    </row>
    <row r="26" spans="1:70" ht="18" thickTop="1" thickBot="1" x14ac:dyDescent="0.25">
      <c r="A26" s="70" t="s">
        <v>12</v>
      </c>
      <c r="B26" s="71" t="s">
        <v>13</v>
      </c>
      <c r="C26" s="71" t="s">
        <v>14</v>
      </c>
      <c r="D26" s="71" t="s">
        <v>15</v>
      </c>
      <c r="E26" s="71" t="s">
        <v>16</v>
      </c>
      <c r="F26" s="59" t="str">
        <f>+F16</f>
        <v xml:space="preserve"> </v>
      </c>
      <c r="G26" s="59"/>
      <c r="H26" s="59"/>
      <c r="I26" s="59"/>
      <c r="J26" s="59"/>
      <c r="K26" s="74"/>
      <c r="L26" s="71" t="s">
        <v>392</v>
      </c>
      <c r="M26" s="102"/>
      <c r="N26" s="71" t="s">
        <v>393</v>
      </c>
      <c r="O26" s="59" t="str">
        <f>+O16</f>
        <v xml:space="preserve"> </v>
      </c>
      <c r="P26" s="57"/>
      <c r="Q26" s="57"/>
      <c r="R26" s="57"/>
      <c r="S26" s="57"/>
      <c r="T26" s="95"/>
      <c r="U26" s="59"/>
      <c r="V26" s="59"/>
      <c r="W26" s="59"/>
      <c r="X26" s="59"/>
      <c r="Y26" s="59"/>
      <c r="Z26" s="59"/>
      <c r="AA26" s="60"/>
      <c r="AC26" s="3"/>
      <c r="AD26" t="s">
        <v>943</v>
      </c>
      <c r="AE26" s="9">
        <v>8</v>
      </c>
      <c r="AF26" t="s">
        <v>1643</v>
      </c>
      <c r="AI26" t="s">
        <v>997</v>
      </c>
      <c r="AJ26" t="s">
        <v>998</v>
      </c>
      <c r="AK26" t="s">
        <v>999</v>
      </c>
      <c r="AL26" t="s">
        <v>1000</v>
      </c>
      <c r="AM26" t="s">
        <v>1001</v>
      </c>
      <c r="AN26" t="s">
        <v>997</v>
      </c>
      <c r="AO26" t="s">
        <v>998</v>
      </c>
      <c r="AP26" t="s">
        <v>999</v>
      </c>
      <c r="AQ26" t="s">
        <v>1000</v>
      </c>
      <c r="AR26" t="s">
        <v>1001</v>
      </c>
      <c r="AS26" t="s">
        <v>997</v>
      </c>
      <c r="AT26" t="s">
        <v>998</v>
      </c>
      <c r="AU26" t="s">
        <v>999</v>
      </c>
      <c r="AV26" t="s">
        <v>1000</v>
      </c>
      <c r="AW26" t="s">
        <v>1001</v>
      </c>
      <c r="AX26"/>
      <c r="AY26"/>
      <c r="AZ26"/>
      <c r="BA26"/>
      <c r="BB26"/>
      <c r="BC26"/>
      <c r="BD26"/>
      <c r="BE26"/>
      <c r="BF26"/>
      <c r="BG26"/>
      <c r="BO26" s="32" t="s">
        <v>33</v>
      </c>
      <c r="BP26" s="33" t="str">
        <f>'JEUNES (4)'!$D$2</f>
        <v/>
      </c>
      <c r="BQ26" s="34">
        <f>IFERROR(IF('JEUNES (4)'!L31=0,VLOOKUP('JEUNES (4)'!B6&amp;'JEUNES (4)'!B12,'LISTE JOUEURS'!$P:$U,6,0),VLOOKUP('JEUNES (4)'!N6&amp;'JEUNES (4)'!P13,'LISTE JOUEURS'!$P:$U,6,0)),0)</f>
        <v>0</v>
      </c>
      <c r="BR26" t="e">
        <f>+_xlfn.XLOOKUP(BQ26,'LISTE JOUEURS'!$U:$U,'LISTE JOUEURS'!$Q:$Q)&amp;" "&amp;_xlfn.XLOOKUP(BQ26,'LISTE JOUEURS'!$U:$U,'LISTE JOUEURS'!$R:$R)</f>
        <v>#N/A</v>
      </c>
    </row>
    <row r="27" spans="1:70" x14ac:dyDescent="0.2">
      <c r="A27" s="323"/>
      <c r="B27" s="324"/>
      <c r="C27" s="324"/>
      <c r="D27" s="324"/>
      <c r="E27" s="324"/>
      <c r="F27" s="293" t="str">
        <f>C12</f>
        <v xml:space="preserve"> </v>
      </c>
      <c r="G27" s="293"/>
      <c r="H27" s="293"/>
      <c r="I27" s="293"/>
      <c r="J27" s="293"/>
      <c r="K27" s="339"/>
      <c r="L27" s="325" t="str">
        <f>IF(ISNUMBER(A27),IF(OR(COUNTIF(A27:E27,"&gt;=0")&gt;3,COUNTIF(A27:E27,"&lt;0")&gt;3),"XXX",IF((COUNTIF(A27:E27,"&gt;=0")-COUNTIF(A27:E27,"&lt;0"))&lt;0,0,IF($I$3="SuperDiv",1,3))),IF(OR(RIGHT(F27,4)="W.O.",A27=-88,A27=-99),0,IF(OR(RIGHT(O27,4)="W.O.",A27=99,A27=88),IF($I$3="SuperDiv",1,3),"")))</f>
        <v/>
      </c>
      <c r="M27" s="340" t="s">
        <v>17</v>
      </c>
      <c r="N27" s="325" t="str">
        <f>IF(AND(ISNUMBER(A27),ISNUMBER(L27)),IF($I$3="SuperDiv",1-L27,3-L27),IF(O27="Forfait W.O.",0,IF(F27="Forfait W.O.",IF($I$3="SuperDiv",1,3),"")))</f>
        <v/>
      </c>
      <c r="O27" s="293" t="str">
        <f>Q12</f>
        <v xml:space="preserve"> </v>
      </c>
      <c r="P27" s="292"/>
      <c r="Q27" s="292"/>
      <c r="R27" s="292"/>
      <c r="S27" s="292"/>
      <c r="T27" s="341"/>
      <c r="U27" s="293" t="str">
        <f>IF(OR(COUNTIF(A27:E27,"&gt;=0")&gt;3,COUNTIF(A27:E27,"&lt;0")&gt;3),"Sets mal notés. Refaire la saisie svp",IF(ABS(A27)=99,"Abandon avant le début de la partie",IF(ABS(A27)=88,"Abandon en cours de partie"," ")))</f>
        <v xml:space="preserve"> </v>
      </c>
      <c r="V27" s="293"/>
      <c r="W27" s="293"/>
      <c r="X27" s="293"/>
      <c r="Y27" s="293"/>
      <c r="Z27" s="293"/>
      <c r="AA27" s="296"/>
      <c r="AC27" s="3" t="s">
        <v>75</v>
      </c>
      <c r="AD27" t="s">
        <v>315</v>
      </c>
      <c r="AE27" s="9">
        <v>9</v>
      </c>
      <c r="AF27" t="s">
        <v>1856</v>
      </c>
      <c r="AI27">
        <f t="shared" ref="AI27:AM31" si="3">IF(A27&gt;0,1,IF(A27&lt;0,-1,0))</f>
        <v>0</v>
      </c>
      <c r="AJ27">
        <f t="shared" si="3"/>
        <v>0</v>
      </c>
      <c r="AK27">
        <f t="shared" si="3"/>
        <v>0</v>
      </c>
      <c r="AL27">
        <f t="shared" si="3"/>
        <v>0</v>
      </c>
      <c r="AM27">
        <f t="shared" si="3"/>
        <v>0</v>
      </c>
      <c r="AN27" s="3">
        <f t="shared" ref="AN27:AR31" si="4">IF(AND(A27&gt;0,A27&lt;10),11,IF(AND(A27&gt;0,A27&gt;9),A27+2,IF(AND(A27&lt;0,A27&gt;-10),-11,IF(AND(A27&lt;0,A27&lt;-9),A27-2,0))))</f>
        <v>0</v>
      </c>
      <c r="AO27" s="3">
        <f t="shared" si="4"/>
        <v>0</v>
      </c>
      <c r="AP27" s="3">
        <f t="shared" si="4"/>
        <v>0</v>
      </c>
      <c r="AQ27" s="3">
        <f t="shared" si="4"/>
        <v>0</v>
      </c>
      <c r="AR27" s="3">
        <f t="shared" si="4"/>
        <v>0</v>
      </c>
      <c r="AS27" s="202">
        <f t="shared" ref="AS27:AW31" si="5">-A27</f>
        <v>0</v>
      </c>
      <c r="AT27" s="202">
        <f t="shared" si="5"/>
        <v>0</v>
      </c>
      <c r="AU27" s="202">
        <f t="shared" si="5"/>
        <v>0</v>
      </c>
      <c r="AV27" s="202">
        <f t="shared" si="5"/>
        <v>0</v>
      </c>
      <c r="AW27" s="202">
        <f t="shared" si="5"/>
        <v>0</v>
      </c>
      <c r="AX27"/>
      <c r="AY27"/>
      <c r="AZ27"/>
      <c r="BA27"/>
      <c r="BB27"/>
      <c r="BC27"/>
      <c r="BD27"/>
      <c r="BE27"/>
      <c r="BF27"/>
      <c r="BG27"/>
    </row>
    <row r="28" spans="1:70" x14ac:dyDescent="0.2">
      <c r="A28" s="328"/>
      <c r="B28" s="329"/>
      <c r="C28" s="329"/>
      <c r="D28" s="329"/>
      <c r="E28" s="330"/>
      <c r="F28" s="302" t="str">
        <f>C13</f>
        <v xml:space="preserve"> </v>
      </c>
      <c r="G28" s="302"/>
      <c r="H28" s="302"/>
      <c r="I28" s="302"/>
      <c r="J28" s="302"/>
      <c r="K28" s="342"/>
      <c r="L28" s="331" t="str">
        <f>IF(ISNUMBER(A28),IF(OR(COUNTIF(A28:E28,"&gt;=0")&gt;3,COUNTIF(A28:E28,"&lt;0")&gt;3),"XXX",IF((COUNTIF(A28:E28,"&gt;=0")-COUNTIF(A28:E28,"&lt;0"))&lt;0,0,IF($I$3="SuperDiv",1,3))),IF(OR(RIGHT(F28,4)="W.O.",A28=-88,A28=-99),0,IF(OR(RIGHT(O28,4)="W.O.",A28=99,A28=88),IF($I$3="SuperDiv",1,3),"")))</f>
        <v/>
      </c>
      <c r="M28" s="343" t="s">
        <v>19</v>
      </c>
      <c r="N28" s="331" t="str">
        <f>IF(AND(ISNUMBER(A28),ISNUMBER(L28)),IF($I$3="SuperDiv",1-L28,3-L28),IF(O28="Forfait W.O.",0,IF(F28="Forfait W.O.",IF($I$3="SuperDiv",1,3),"")))</f>
        <v/>
      </c>
      <c r="O28" s="302" t="str">
        <f>Q13</f>
        <v xml:space="preserve"> </v>
      </c>
      <c r="P28" s="299"/>
      <c r="Q28" s="299"/>
      <c r="R28" s="299"/>
      <c r="S28" s="299"/>
      <c r="T28" s="344"/>
      <c r="U28" s="302" t="str">
        <f>IF(OR(COUNTIF(A28:E28,"&gt;=0")&gt;3,COUNTIF(A28:E28,"&lt;0")&gt;3),"Sets mal notés. Refaire la saisie svp",IF(ABS(A28)=99,"Abandon avant le début de la partie",IF(ABS(A28)=88,"Abandon en cours de partie"," ")))</f>
        <v xml:space="preserve"> </v>
      </c>
      <c r="V28" s="299"/>
      <c r="W28" s="302"/>
      <c r="X28" s="302"/>
      <c r="Y28" s="302"/>
      <c r="Z28" s="302"/>
      <c r="AA28" s="303"/>
      <c r="AC28" s="3" t="s">
        <v>1005</v>
      </c>
      <c r="AD28" t="s">
        <v>1012</v>
      </c>
      <c r="AE28" s="9">
        <v>10</v>
      </c>
      <c r="AF28" t="s">
        <v>1643</v>
      </c>
      <c r="AI28">
        <f t="shared" si="3"/>
        <v>0</v>
      </c>
      <c r="AJ28">
        <f t="shared" si="3"/>
        <v>0</v>
      </c>
      <c r="AK28">
        <f t="shared" si="3"/>
        <v>0</v>
      </c>
      <c r="AL28">
        <f t="shared" si="3"/>
        <v>0</v>
      </c>
      <c r="AM28">
        <f t="shared" si="3"/>
        <v>0</v>
      </c>
      <c r="AN28" s="3">
        <f t="shared" si="4"/>
        <v>0</v>
      </c>
      <c r="AO28" s="3">
        <f t="shared" si="4"/>
        <v>0</v>
      </c>
      <c r="AP28" s="3">
        <f t="shared" si="4"/>
        <v>0</v>
      </c>
      <c r="AQ28" s="3">
        <f t="shared" si="4"/>
        <v>0</v>
      </c>
      <c r="AR28" s="3">
        <f t="shared" si="4"/>
        <v>0</v>
      </c>
      <c r="AS28" s="202">
        <f t="shared" si="5"/>
        <v>0</v>
      </c>
      <c r="AT28" s="202">
        <f t="shared" si="5"/>
        <v>0</v>
      </c>
      <c r="AU28" s="202">
        <f t="shared" si="5"/>
        <v>0</v>
      </c>
      <c r="AV28" s="202">
        <f t="shared" si="5"/>
        <v>0</v>
      </c>
      <c r="AW28" s="202">
        <f t="shared" si="5"/>
        <v>0</v>
      </c>
      <c r="AX28"/>
      <c r="AY28"/>
      <c r="AZ28"/>
      <c r="BA28"/>
      <c r="BB28"/>
      <c r="BC28"/>
      <c r="BD28"/>
      <c r="BE28"/>
      <c r="BF28"/>
      <c r="BG28"/>
      <c r="BM28" t="s">
        <v>384</v>
      </c>
      <c r="BN28">
        <v>1</v>
      </c>
    </row>
    <row r="29" spans="1:70" x14ac:dyDescent="0.2">
      <c r="A29" s="328"/>
      <c r="B29" s="329"/>
      <c r="C29" s="329"/>
      <c r="D29" s="329"/>
      <c r="E29" s="330"/>
      <c r="F29" s="302" t="str">
        <f>IF(OR(F27="Forfait W.O.",F28="Forfait W.O."),B6&amp;" "&amp;F6&amp;" W.O.",B6&amp;" "&amp;F6)</f>
        <v xml:space="preserve"> </v>
      </c>
      <c r="G29" s="302"/>
      <c r="H29" s="302"/>
      <c r="I29" s="302"/>
      <c r="J29" s="302"/>
      <c r="K29" s="342"/>
      <c r="L29" s="331" t="str">
        <f>IF(ISNUMBER(A29),IF(OR(COUNTIF(A29:E29,"&gt;=0")&gt;3,COUNTIF(A29:E29,"&lt;0")&gt;3),"XXX",IF((COUNTIF(A29:E29,"&gt;=0")-COUNTIF(A29:E29,"&lt;0"))&lt;0,0,IF($I$3="SuperDiv",2,5))),IF(OR(RIGHT(F29,4)="W.O.",A29=-88,A29=-99),0,IF(OR(RIGHT(O29,4)="W.O.",A29=99,A29=88),IF($I$3="SuperDiv",2,5),"")))</f>
        <v/>
      </c>
      <c r="M29" s="345" t="s">
        <v>22</v>
      </c>
      <c r="N29" s="331" t="str">
        <f>IF(AND(ISNUMBER(A29),ISNUMBER(L29)),IF(I3="SuperDiv",2-L29,5-L29),IF(RIGHT(O29,4)="W.O.",0,IF(RIGHT(F29,4)="W.O.",IF(I3="SuperDiv",2,5),"")))</f>
        <v/>
      </c>
      <c r="O29" s="302" t="str">
        <f>IF(OR(O27="Forfait W.O.",O28="Forfait W.O."),N6&amp;" "&amp;R6&amp;" W.O.",N6&amp;" "&amp;R6)</f>
        <v xml:space="preserve"> </v>
      </c>
      <c r="P29" s="299"/>
      <c r="Q29" s="299"/>
      <c r="R29" s="299"/>
      <c r="S29" s="299"/>
      <c r="T29" s="344"/>
      <c r="U29" s="302" t="str">
        <f>IF(OR(COUNTIF(A29:E29,"&gt;=0")&gt;3,COUNTIF(A29:E29,"&lt;0")&gt;3),"Sets mal notés. Refaire la saisie svp",IF(ABS(A29)=99,"Abandon avant le début de la partie",IF(ABS(A29)=88,"Abandon en cours de partie"," ")))</f>
        <v xml:space="preserve"> </v>
      </c>
      <c r="V29" s="302"/>
      <c r="W29" s="302"/>
      <c r="X29" s="332"/>
      <c r="Y29" s="302"/>
      <c r="Z29" s="302"/>
      <c r="AA29" s="303"/>
      <c r="AC29" s="3" t="s">
        <v>845</v>
      </c>
      <c r="AD29" t="s">
        <v>870</v>
      </c>
      <c r="AE29" s="9">
        <v>11</v>
      </c>
      <c r="AF29" t="s">
        <v>1856</v>
      </c>
      <c r="AI29">
        <f t="shared" si="3"/>
        <v>0</v>
      </c>
      <c r="AJ29">
        <f t="shared" si="3"/>
        <v>0</v>
      </c>
      <c r="AK29">
        <f t="shared" si="3"/>
        <v>0</v>
      </c>
      <c r="AL29">
        <f t="shared" si="3"/>
        <v>0</v>
      </c>
      <c r="AM29">
        <f t="shared" si="3"/>
        <v>0</v>
      </c>
      <c r="AN29" s="3">
        <f t="shared" si="4"/>
        <v>0</v>
      </c>
      <c r="AO29" s="3">
        <f t="shared" si="4"/>
        <v>0</v>
      </c>
      <c r="AP29" s="3">
        <f t="shared" si="4"/>
        <v>0</v>
      </c>
      <c r="AQ29" s="3">
        <f t="shared" si="4"/>
        <v>0</v>
      </c>
      <c r="AR29" s="3">
        <f t="shared" si="4"/>
        <v>0</v>
      </c>
      <c r="AS29" s="202">
        <f t="shared" si="5"/>
        <v>0</v>
      </c>
      <c r="AT29" s="202">
        <f t="shared" si="5"/>
        <v>0</v>
      </c>
      <c r="AU29" s="202">
        <f t="shared" si="5"/>
        <v>0</v>
      </c>
      <c r="AV29" s="202">
        <f t="shared" si="5"/>
        <v>0</v>
      </c>
      <c r="AW29" s="202">
        <f t="shared" si="5"/>
        <v>0</v>
      </c>
      <c r="AX29"/>
      <c r="AY29"/>
      <c r="AZ29"/>
      <c r="BA29"/>
      <c r="BB29"/>
      <c r="BC29"/>
      <c r="BD29"/>
      <c r="BE29"/>
      <c r="BF29"/>
      <c r="BG29"/>
      <c r="BN29">
        <v>2</v>
      </c>
    </row>
    <row r="30" spans="1:70" x14ac:dyDescent="0.2">
      <c r="A30" s="328"/>
      <c r="B30" s="329"/>
      <c r="C30" s="329"/>
      <c r="D30" s="329"/>
      <c r="E30" s="330"/>
      <c r="F30" s="302" t="str">
        <f>C13</f>
        <v xml:space="preserve"> </v>
      </c>
      <c r="G30" s="302"/>
      <c r="H30" s="302"/>
      <c r="I30" s="302"/>
      <c r="J30" s="302"/>
      <c r="K30" s="342"/>
      <c r="L30" s="331" t="str">
        <f>IF(ISNUMBER(A30),IF(OR(COUNTIF(A30:E30,"&gt;=0")&gt;3,COUNTIF(A30:E30,"&lt;0")&gt;3),"XXX",IF((COUNTIF(A30:E30,"&gt;=0")-COUNTIF(A30:E30,"&lt;0"))&lt;0,0,IF($I$3="SuperDiv",1,3))),IF(OR(RIGHT(F30,4)="W.O.",A30=-88,A30=-99),0,IF(OR(RIGHT(O30,4)="W.O.",A30=99,A30=88),IF($I$3="SuperDiv",1,3),"")))</f>
        <v/>
      </c>
      <c r="M30" s="343" t="s">
        <v>18</v>
      </c>
      <c r="N30" s="331" t="str">
        <f>IF(AND(ISNUMBER(A30),ISNUMBER(L30)),IF($I$3="SuperDiv",1-L30,3-L30),IF(O30="Forfait W.O.",0,IF(F30="Forfait W.O.",IF($I$3="SuperDiv",1,3),"")))</f>
        <v/>
      </c>
      <c r="O30" s="302" t="str">
        <f>Q12</f>
        <v xml:space="preserve"> </v>
      </c>
      <c r="P30" s="299"/>
      <c r="Q30" s="299"/>
      <c r="R30" s="299"/>
      <c r="S30" s="299"/>
      <c r="T30" s="344"/>
      <c r="U30" s="302" t="str">
        <f>IF(OR(COUNTIF(A30:E30,"&gt;=0")&gt;3,COUNTIF(A30:E30,"&lt;0")&gt;3),"Sets mal notés. Refaire la saisie svp",IF(ABS(A30)=99,"Abandon avant le début de la partie",IF(ABS(A30)=88,"Abandon en cours de partie"," ")))</f>
        <v xml:space="preserve"> </v>
      </c>
      <c r="V30" s="302"/>
      <c r="W30" s="302"/>
      <c r="X30" s="332"/>
      <c r="Y30" s="302"/>
      <c r="Z30" s="302"/>
      <c r="AA30" s="303"/>
      <c r="AC30" s="3" t="s">
        <v>1219</v>
      </c>
      <c r="AD30" t="s">
        <v>320</v>
      </c>
      <c r="AE30" s="9">
        <v>12</v>
      </c>
      <c r="AF30" t="s">
        <v>1856</v>
      </c>
      <c r="AI30">
        <f t="shared" si="3"/>
        <v>0</v>
      </c>
      <c r="AJ30">
        <f t="shared" si="3"/>
        <v>0</v>
      </c>
      <c r="AK30">
        <f t="shared" si="3"/>
        <v>0</v>
      </c>
      <c r="AL30">
        <f t="shared" si="3"/>
        <v>0</v>
      </c>
      <c r="AM30">
        <f t="shared" si="3"/>
        <v>0</v>
      </c>
      <c r="AN30" s="3">
        <f t="shared" si="4"/>
        <v>0</v>
      </c>
      <c r="AO30" s="3">
        <f t="shared" si="4"/>
        <v>0</v>
      </c>
      <c r="AP30" s="3">
        <f t="shared" si="4"/>
        <v>0</v>
      </c>
      <c r="AQ30" s="3">
        <f t="shared" si="4"/>
        <v>0</v>
      </c>
      <c r="AR30" s="3">
        <f t="shared" si="4"/>
        <v>0</v>
      </c>
      <c r="AS30" s="202">
        <f t="shared" si="5"/>
        <v>0</v>
      </c>
      <c r="AT30" s="202">
        <f t="shared" si="5"/>
        <v>0</v>
      </c>
      <c r="AU30" s="202">
        <f t="shared" si="5"/>
        <v>0</v>
      </c>
      <c r="AV30" s="202">
        <f t="shared" si="5"/>
        <v>0</v>
      </c>
      <c r="AW30" s="202">
        <f t="shared" si="5"/>
        <v>0</v>
      </c>
      <c r="BN30">
        <v>3</v>
      </c>
    </row>
    <row r="31" spans="1:70" ht="17" thickBot="1" x14ac:dyDescent="0.25">
      <c r="A31" s="334"/>
      <c r="B31" s="335"/>
      <c r="C31" s="335"/>
      <c r="D31" s="335"/>
      <c r="E31" s="335"/>
      <c r="F31" s="306" t="str">
        <f>C12</f>
        <v xml:space="preserve"> </v>
      </c>
      <c r="G31" s="306"/>
      <c r="H31" s="306"/>
      <c r="I31" s="306"/>
      <c r="J31" s="306"/>
      <c r="K31" s="346"/>
      <c r="L31" s="336" t="str">
        <f>IF(ISNUMBER(A31),IF(OR(COUNTIF(A31:E31,"&gt;=0")&gt;3,COUNTIF(A31:E31,"&lt;0")&gt;3),"XXX",IF((COUNTIF(A31:E31,"&gt;=0")-COUNTIF(A31:E31,"&lt;0"))&lt;0,0,IF($I$3="SuperDiv",1,3))),IF(OR(RIGHT(F31,4)="W.O.",A31=-88,A31=-99),0,IF(OR(RIGHT(O31,4)="W.O.",A31=99,A31=88),IF($I$3="SuperDiv",1,3),"")))</f>
        <v/>
      </c>
      <c r="M31" s="347" t="s">
        <v>20</v>
      </c>
      <c r="N31" s="336" t="str">
        <f>IF(AND(ISNUMBER(A31),ISNUMBER(L31)),IF($I$3="SuperDiv",1-L31,3-L31),IF(O31="Forfait W.O.",0,IF(F31="Forfait W.O.",IF($I$3="SuperDiv",1,3),"")))</f>
        <v/>
      </c>
      <c r="O31" s="306" t="str">
        <f>Q13</f>
        <v xml:space="preserve"> </v>
      </c>
      <c r="P31" s="309"/>
      <c r="Q31" s="309"/>
      <c r="R31" s="309"/>
      <c r="S31" s="309"/>
      <c r="T31" s="348"/>
      <c r="U31" s="306" t="str">
        <f>IF(OR(COUNTIF(A31:E31,"&gt;=0")&gt;3,COUNTIF(A31:E31,"&lt;0")&gt;3),"Sets mal notés. Refaire la saisie svp",IF(ABS(A31)=99,"Abandon avant le début de la partie",IF(ABS(A31)=88,"Abandon en cours de partie"," ")))</f>
        <v xml:space="preserve"> </v>
      </c>
      <c r="V31" s="306"/>
      <c r="W31" s="306"/>
      <c r="X31" s="349"/>
      <c r="Y31" s="306"/>
      <c r="Z31" s="306"/>
      <c r="AA31" s="310"/>
      <c r="AC31" s="3" t="s">
        <v>2028</v>
      </c>
      <c r="AD31" t="s">
        <v>2029</v>
      </c>
      <c r="AE31" s="9">
        <v>13</v>
      </c>
      <c r="AF31" t="s">
        <v>1643</v>
      </c>
      <c r="AI31">
        <f t="shared" si="3"/>
        <v>0</v>
      </c>
      <c r="AJ31">
        <f t="shared" si="3"/>
        <v>0</v>
      </c>
      <c r="AK31">
        <f t="shared" si="3"/>
        <v>0</v>
      </c>
      <c r="AL31">
        <f t="shared" si="3"/>
        <v>0</v>
      </c>
      <c r="AM31">
        <f t="shared" si="3"/>
        <v>0</v>
      </c>
      <c r="AN31" s="3">
        <f t="shared" si="4"/>
        <v>0</v>
      </c>
      <c r="AO31" s="3">
        <f t="shared" si="4"/>
        <v>0</v>
      </c>
      <c r="AP31" s="3">
        <f t="shared" si="4"/>
        <v>0</v>
      </c>
      <c r="AQ31" s="3">
        <f t="shared" si="4"/>
        <v>0</v>
      </c>
      <c r="AR31" s="3">
        <f t="shared" si="4"/>
        <v>0</v>
      </c>
      <c r="AS31" s="202">
        <f t="shared" si="5"/>
        <v>0</v>
      </c>
      <c r="AT31" s="202">
        <f t="shared" si="5"/>
        <v>0</v>
      </c>
      <c r="AU31" s="202">
        <f t="shared" si="5"/>
        <v>0</v>
      </c>
      <c r="AV31" s="202">
        <f t="shared" si="5"/>
        <v>0</v>
      </c>
      <c r="AW31" s="202">
        <f t="shared" si="5"/>
        <v>0</v>
      </c>
      <c r="BN31">
        <v>4</v>
      </c>
    </row>
    <row r="32" spans="1:70" ht="17" thickTop="1" x14ac:dyDescent="0.2">
      <c r="A32" s="27"/>
      <c r="B32" s="27"/>
      <c r="C32" s="27"/>
      <c r="P32" s="27"/>
      <c r="Q32" s="27"/>
      <c r="R32" s="27"/>
      <c r="S32" s="27"/>
      <c r="T32" s="27"/>
      <c r="U32" s="27"/>
      <c r="X32" s="87"/>
      <c r="AC32" s="3" t="s">
        <v>1211</v>
      </c>
      <c r="AD32" t="s">
        <v>1320</v>
      </c>
      <c r="AE32" s="9">
        <v>14</v>
      </c>
      <c r="AF32" t="s">
        <v>1856</v>
      </c>
      <c r="AU32"/>
      <c r="AV32"/>
      <c r="AW32"/>
      <c r="BN32">
        <v>5</v>
      </c>
    </row>
    <row r="33" spans="1:66" ht="19" x14ac:dyDescent="0.25">
      <c r="A33" s="27"/>
      <c r="B33" s="27"/>
      <c r="C33" s="27"/>
      <c r="I33" s="113" t="s">
        <v>391</v>
      </c>
      <c r="J33" s="103"/>
      <c r="K33" s="103"/>
      <c r="L33" s="104">
        <f>SUM(L27:L31)</f>
        <v>0</v>
      </c>
      <c r="M33" s="105"/>
      <c r="N33" s="106">
        <f>SUM(N27:N31)</f>
        <v>0</v>
      </c>
      <c r="P33" s="27"/>
      <c r="Q33" s="27"/>
      <c r="R33" s="27"/>
      <c r="S33" s="27"/>
      <c r="T33" s="27"/>
      <c r="U33" s="27"/>
      <c r="X33" s="87"/>
      <c r="AB33" s="27"/>
      <c r="AC33" s="3" t="s">
        <v>746</v>
      </c>
      <c r="AD33" t="s">
        <v>313</v>
      </c>
      <c r="AE33" s="9">
        <v>15</v>
      </c>
      <c r="AF33" t="s">
        <v>1856</v>
      </c>
      <c r="AJ33" t="str">
        <f>$B$6&amp;" "&amp;$F$6</f>
        <v xml:space="preserve"> </v>
      </c>
      <c r="AK33">
        <f>COUNTIF(AI17:AM21,1)+COUNTIF(AI27:AM31,1)</f>
        <v>0</v>
      </c>
      <c r="AL33">
        <f>SUMIF(AN17:AW21,"&gt;0",AN17:AW21)+SUMIF(AN27:AW31,"&gt;0",AN27:AW31)</f>
        <v>0</v>
      </c>
      <c r="BN33">
        <v>6</v>
      </c>
    </row>
    <row r="34" spans="1:66" x14ac:dyDescent="0.2">
      <c r="A34" s="27"/>
      <c r="B34" s="27"/>
      <c r="C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AA34" s="42"/>
      <c r="AC34" s="3" t="s">
        <v>1204</v>
      </c>
      <c r="AD34" t="s">
        <v>1315</v>
      </c>
      <c r="AE34" s="9">
        <v>16</v>
      </c>
      <c r="AF34" t="s">
        <v>1856</v>
      </c>
      <c r="AJ34" t="str">
        <f>$N$6&amp;" "&amp;$R$6</f>
        <v xml:space="preserve"> </v>
      </c>
      <c r="AK34">
        <f>COUNTIF(AI17:AM21,-1)+COUNTIF(AI27:AM31,-1)</f>
        <v>0</v>
      </c>
      <c r="AL34">
        <f>-SUMIF(AN17:AW21,"&lt;0",AN17:AW21)-SUMIF(AN27:AW31,"&lt;0",AN27:AW31)</f>
        <v>0</v>
      </c>
    </row>
    <row r="35" spans="1:66" ht="17" thickBot="1" x14ac:dyDescent="0.25">
      <c r="A35" s="27"/>
      <c r="B35" s="27"/>
      <c r="C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3" t="s">
        <v>514</v>
      </c>
      <c r="AD35" t="s">
        <v>515</v>
      </c>
      <c r="AE35" s="9">
        <v>17</v>
      </c>
      <c r="AF35" t="s">
        <v>1643</v>
      </c>
      <c r="BM35" t="s">
        <v>28</v>
      </c>
      <c r="BN35" t="s">
        <v>385</v>
      </c>
    </row>
    <row r="36" spans="1:66" ht="20" thickTop="1" x14ac:dyDescent="0.25">
      <c r="A36" s="494" t="s">
        <v>397</v>
      </c>
      <c r="B36" s="495"/>
      <c r="C36" s="495"/>
      <c r="D36" s="495"/>
      <c r="E36" s="495"/>
      <c r="F36" s="495"/>
      <c r="G36" s="495"/>
      <c r="H36" s="495"/>
      <c r="I36" s="495"/>
      <c r="J36" s="518"/>
      <c r="K36" s="518"/>
      <c r="L36" s="518"/>
      <c r="M36" s="518"/>
      <c r="N36" s="518"/>
      <c r="O36" s="518"/>
      <c r="P36" s="518"/>
      <c r="Q36" s="518"/>
      <c r="R36" s="518"/>
      <c r="S36" s="495"/>
      <c r="T36" s="495"/>
      <c r="U36" s="495"/>
      <c r="V36" s="495"/>
      <c r="W36" s="495"/>
      <c r="X36" s="495"/>
      <c r="Y36" s="495"/>
      <c r="Z36" s="495"/>
      <c r="AA36" s="496"/>
      <c r="AC36" s="3" t="s">
        <v>118</v>
      </c>
      <c r="AD36" t="s">
        <v>799</v>
      </c>
      <c r="AE36" s="9">
        <v>18</v>
      </c>
      <c r="AF36" t="s">
        <v>1643</v>
      </c>
      <c r="BN36" t="s">
        <v>386</v>
      </c>
    </row>
    <row r="37" spans="1:66" ht="19" x14ac:dyDescent="0.25">
      <c r="A37" s="112" t="str">
        <f>IF((L33+L23 )&gt;(N33+N23),B6&amp;" "&amp;F6,IF((L33+L23)=(N33+N23),B6&amp;" "&amp;F6,N6&amp;" "&amp;R6))</f>
        <v xml:space="preserve"> </v>
      </c>
      <c r="B37" s="27"/>
      <c r="C37" s="27"/>
      <c r="D37" s="27"/>
      <c r="E37" s="76" t="str">
        <f>IF(A40=H40,"à égalité avec ","BAT")</f>
        <v>BAT</v>
      </c>
      <c r="F37" s="27"/>
      <c r="G37" s="27"/>
      <c r="H37" s="198" t="str">
        <f>IF((L33+L23 )&lt;(N33+N23),B6&amp;" "&amp;F6,IF((L33+L23)=(N33+N23),N6&amp;" "&amp;R6,N6&amp;" "&amp;R6))</f>
        <v xml:space="preserve"> </v>
      </c>
      <c r="I37" s="27"/>
      <c r="J37" s="81" t="str">
        <f>"Cap. "&amp;O16</f>
        <v xml:space="preserve">Cap.  </v>
      </c>
      <c r="K37" s="84"/>
      <c r="L37" s="368"/>
      <c r="M37" s="368"/>
      <c r="N37" s="497"/>
      <c r="O37" s="498"/>
      <c r="P37" s="498"/>
      <c r="Q37" s="498"/>
      <c r="R37" s="499"/>
      <c r="S37" s="369" t="s">
        <v>127</v>
      </c>
      <c r="T37" s="89"/>
      <c r="Z37" s="27"/>
      <c r="AA37" s="107"/>
      <c r="AC37" s="3"/>
      <c r="AD37" t="s">
        <v>340</v>
      </c>
      <c r="AE37" s="9">
        <v>19</v>
      </c>
      <c r="AF37" t="s">
        <v>1643</v>
      </c>
    </row>
    <row r="38" spans="1:66" ht="19" x14ac:dyDescent="0.25">
      <c r="A38" s="80" t="str">
        <f>IF((L33+L23)&gt;(N33+N23),(L33+L23)&amp;" points",(N33+N23)&amp;" points")</f>
        <v>0 points</v>
      </c>
      <c r="B38" s="27"/>
      <c r="C38" s="27"/>
      <c r="D38" s="27"/>
      <c r="E38" s="27"/>
      <c r="H38" s="198" t="str">
        <f>IF((L33+L23 )&gt;(N33+N23),(N33+N23)&amp;" points",(L33+L23)&amp;" points")</f>
        <v>0 points</v>
      </c>
      <c r="J38" s="201" t="str">
        <f>"Cap. "&amp;F16</f>
        <v xml:space="preserve">Cap.  </v>
      </c>
      <c r="L38" s="27"/>
      <c r="M38" s="27"/>
      <c r="N38" s="449"/>
      <c r="O38" s="436"/>
      <c r="P38" s="436"/>
      <c r="Q38" s="436"/>
      <c r="R38" s="500"/>
      <c r="S38" s="449"/>
      <c r="T38" s="436"/>
      <c r="U38" s="436"/>
      <c r="V38" s="436"/>
      <c r="W38" s="436"/>
      <c r="Z38" s="27"/>
      <c r="AA38" s="107"/>
      <c r="AC38" s="3" t="s">
        <v>1526</v>
      </c>
      <c r="AD38" t="s">
        <v>761</v>
      </c>
      <c r="AE38" s="9">
        <v>20</v>
      </c>
      <c r="AF38" t="s">
        <v>1856</v>
      </c>
    </row>
    <row r="39" spans="1:66" ht="19" x14ac:dyDescent="0.25">
      <c r="A39" s="461" t="str">
        <f>VLOOKUP(A37,$AJ$33:$AL$34,2,0)&amp;" Sets à "&amp;VLOOKUP(H37,$AJ$33:$AL$34,2,0)</f>
        <v>0 Sets à 0</v>
      </c>
      <c r="B39" s="462"/>
      <c r="C39" s="462"/>
      <c r="D39" s="462"/>
      <c r="E39" s="462"/>
      <c r="F39" s="462"/>
      <c r="G39" s="462"/>
      <c r="H39" s="462"/>
      <c r="I39" s="462"/>
      <c r="J39" s="100"/>
      <c r="R39" s="69"/>
      <c r="AA39" s="55"/>
      <c r="AC39" s="3" t="s">
        <v>1209</v>
      </c>
      <c r="AD39" t="s">
        <v>1318</v>
      </c>
      <c r="AE39" s="9">
        <v>21</v>
      </c>
      <c r="AF39" t="s">
        <v>1856</v>
      </c>
      <c r="BI39" s="3" t="s">
        <v>154</v>
      </c>
      <c r="BJ39" s="3" t="str">
        <f>C10</f>
        <v xml:space="preserve"> </v>
      </c>
      <c r="BK39" s="3"/>
      <c r="BL39" s="3"/>
      <c r="BM39" s="3"/>
    </row>
    <row r="40" spans="1:66" ht="20" thickBot="1" x14ac:dyDescent="0.3">
      <c r="A40" s="463" t="str">
        <f>ROUND(VLOOKUP(A37,$AJ$33:$AL$34,3,0),0)&amp;" points à "&amp;ROUND(VLOOKUP(H37,$AJ$33:$AL$34,3,0),0)</f>
        <v>0 points à 0</v>
      </c>
      <c r="B40" s="464"/>
      <c r="C40" s="464"/>
      <c r="D40" s="464"/>
      <c r="E40" s="464"/>
      <c r="F40" s="464"/>
      <c r="G40" s="464"/>
      <c r="H40" s="464"/>
      <c r="I40" s="464"/>
      <c r="J40" s="101"/>
      <c r="K40" s="5"/>
      <c r="L40" s="5"/>
      <c r="M40" s="5"/>
      <c r="N40" s="5"/>
      <c r="O40" s="5"/>
      <c r="P40" s="5"/>
      <c r="Q40" s="5"/>
      <c r="R40" s="98"/>
      <c r="S40" s="5"/>
      <c r="T40" s="5"/>
      <c r="U40" s="5"/>
      <c r="V40" s="5"/>
      <c r="W40" s="5"/>
      <c r="X40" s="5"/>
      <c r="Y40" s="5"/>
      <c r="Z40" s="44"/>
      <c r="AA40" s="108"/>
      <c r="AC40" s="3" t="s">
        <v>1006</v>
      </c>
      <c r="AD40" t="s">
        <v>292</v>
      </c>
      <c r="AE40" s="9">
        <v>22</v>
      </c>
      <c r="AF40" t="s">
        <v>1643</v>
      </c>
      <c r="BI40" s="3" t="s">
        <v>154</v>
      </c>
      <c r="BJ40" s="3" t="str">
        <f>C11</f>
        <v xml:space="preserve"> </v>
      </c>
      <c r="BK40" s="3"/>
      <c r="BL40" s="3"/>
      <c r="BM40" s="3"/>
    </row>
    <row r="41" spans="1:66" ht="17" thickTop="1" x14ac:dyDescent="0.2">
      <c r="A41" s="27"/>
      <c r="B41" s="27"/>
      <c r="C41" s="27"/>
      <c r="D41" s="27"/>
      <c r="E41" s="27"/>
      <c r="P41" s="27"/>
      <c r="Q41" s="27"/>
      <c r="R41" s="27"/>
      <c r="S41" s="27"/>
      <c r="T41" s="27"/>
      <c r="AC41" s="3" t="s">
        <v>924</v>
      </c>
      <c r="AD41" t="s">
        <v>941</v>
      </c>
      <c r="AE41" s="9">
        <v>23</v>
      </c>
      <c r="AF41" t="s">
        <v>1643</v>
      </c>
      <c r="BI41" s="3" t="s">
        <v>154</v>
      </c>
      <c r="BJ41" s="3" t="str">
        <f>C12</f>
        <v xml:space="preserve"> </v>
      </c>
      <c r="BK41" s="3"/>
      <c r="BL41" s="3"/>
      <c r="BM41" s="3"/>
    </row>
    <row r="42" spans="1:66" x14ac:dyDescent="0.2">
      <c r="A42" s="45" t="s">
        <v>442</v>
      </c>
      <c r="B42" s="45"/>
      <c r="C42" s="45"/>
      <c r="D42" s="45"/>
      <c r="E42" s="45"/>
      <c r="F42" s="45"/>
      <c r="G42" s="45"/>
      <c r="Q42" s="166" t="s">
        <v>440</v>
      </c>
      <c r="AC42" s="3" t="s">
        <v>710</v>
      </c>
      <c r="AD42" t="s">
        <v>719</v>
      </c>
      <c r="AE42" s="9">
        <v>24</v>
      </c>
      <c r="AF42" t="s">
        <v>1643</v>
      </c>
      <c r="BI42" s="3" t="s">
        <v>154</v>
      </c>
      <c r="BJ42" s="3" t="str">
        <f>C13</f>
        <v xml:space="preserve"> </v>
      </c>
      <c r="BK42" s="3"/>
      <c r="BL42" s="3"/>
      <c r="BM42" s="3"/>
    </row>
    <row r="43" spans="1:66" ht="21" x14ac:dyDescent="0.25">
      <c r="A43" s="45" t="s">
        <v>244</v>
      </c>
      <c r="F43" s="174" t="str">
        <f>IFERROR(VLOOKUP(N6,'LISTING CLUB'!A:C,3,0),"")</f>
        <v/>
      </c>
      <c r="K43" s="9" t="s">
        <v>401</v>
      </c>
      <c r="M43" s="27"/>
      <c r="N43" s="27"/>
      <c r="O43" s="123" t="str">
        <f>"JJ"&amp;R3&amp;"-"&amp;I3&amp;"-"&amp;N3&amp;"-"&amp;F16&amp;"-"&amp;O16</f>
        <v xml:space="preserve">JJ--- - </v>
      </c>
      <c r="AC43" s="3" t="s">
        <v>711</v>
      </c>
      <c r="AD43" t="s">
        <v>300</v>
      </c>
      <c r="AE43" s="9">
        <v>25</v>
      </c>
      <c r="AF43" t="s">
        <v>1643</v>
      </c>
      <c r="BI43" s="3" t="s">
        <v>155</v>
      </c>
      <c r="BJ43" s="3" t="str">
        <f>+Q10</f>
        <v xml:space="preserve"> </v>
      </c>
    </row>
    <row r="44" spans="1:66" ht="21" x14ac:dyDescent="0.25">
      <c r="A44" s="452" t="s">
        <v>378</v>
      </c>
      <c r="B44" s="453"/>
      <c r="C44" s="453"/>
      <c r="D44" s="453"/>
      <c r="E44" s="453"/>
      <c r="F44" s="453"/>
      <c r="G44" s="453"/>
      <c r="H44" s="453"/>
      <c r="I44" s="453"/>
      <c r="J44" s="453"/>
      <c r="K44" s="453"/>
      <c r="L44" s="453"/>
      <c r="M44" s="453"/>
      <c r="N44" s="453"/>
      <c r="O44" s="453"/>
      <c r="P44" s="453"/>
      <c r="Q44" s="453"/>
      <c r="R44" s="453"/>
      <c r="S44" s="453"/>
      <c r="T44" s="453"/>
      <c r="U44" s="453"/>
      <c r="V44" s="453"/>
      <c r="W44" s="453"/>
      <c r="X44" s="453"/>
      <c r="Y44" s="453"/>
      <c r="Z44" s="453"/>
      <c r="AA44" s="454"/>
      <c r="AC44" s="3" t="s">
        <v>1221</v>
      </c>
      <c r="AD44" t="s">
        <v>333</v>
      </c>
      <c r="AE44" s="9">
        <v>26</v>
      </c>
      <c r="AF44" t="s">
        <v>1643</v>
      </c>
      <c r="BI44" s="3" t="s">
        <v>155</v>
      </c>
      <c r="BJ44" s="3" t="str">
        <f>+Q11</f>
        <v xml:space="preserve"> </v>
      </c>
      <c r="BK44" s="3"/>
      <c r="BL44" s="3"/>
      <c r="BM44" s="3"/>
    </row>
    <row r="45" spans="1:66" x14ac:dyDescent="0.2">
      <c r="C45" s="27"/>
      <c r="D45" s="27"/>
      <c r="E45" s="27"/>
      <c r="M45" s="27"/>
      <c r="AC45" s="3" t="s">
        <v>1198</v>
      </c>
      <c r="AD45" t="s">
        <v>283</v>
      </c>
      <c r="AE45" s="9">
        <v>27</v>
      </c>
      <c r="AF45" t="s">
        <v>1856</v>
      </c>
      <c r="BI45" s="3" t="s">
        <v>155</v>
      </c>
      <c r="BJ45" s="3" t="str">
        <f>+Q12</f>
        <v xml:space="preserve"> </v>
      </c>
      <c r="BK45" s="3"/>
      <c r="BL45" s="3"/>
      <c r="BM45" s="3"/>
    </row>
    <row r="46" spans="1:66" x14ac:dyDescent="0.2">
      <c r="B46" s="117"/>
      <c r="C46" s="118"/>
      <c r="D46" s="118"/>
      <c r="E46" s="117"/>
      <c r="F46" s="117"/>
      <c r="G46" s="117"/>
      <c r="H46" s="117"/>
      <c r="I46" s="117"/>
      <c r="J46" s="117"/>
      <c r="K46" s="117"/>
      <c r="L46" s="117"/>
      <c r="M46" s="117"/>
      <c r="N46" s="117"/>
      <c r="O46" s="117"/>
      <c r="P46" s="117"/>
      <c r="Q46" s="117"/>
      <c r="R46" s="117"/>
      <c r="S46" s="117"/>
      <c r="T46" s="117"/>
      <c r="U46" s="117"/>
      <c r="V46" s="117"/>
      <c r="W46" s="117"/>
      <c r="X46" s="117"/>
      <c r="Y46" s="117"/>
      <c r="Z46" s="117"/>
      <c r="AC46" s="3" t="s">
        <v>843</v>
      </c>
      <c r="AD46" t="s">
        <v>361</v>
      </c>
      <c r="AE46" s="9">
        <v>28</v>
      </c>
      <c r="AF46" t="s">
        <v>1643</v>
      </c>
      <c r="BI46" s="3" t="s">
        <v>155</v>
      </c>
      <c r="BJ46" s="3" t="str">
        <f>+Q13</f>
        <v xml:space="preserve"> </v>
      </c>
      <c r="BK46" s="3"/>
      <c r="BL46" s="3"/>
      <c r="BM46" s="3"/>
    </row>
    <row r="47" spans="1:66" x14ac:dyDescent="0.2">
      <c r="B47" s="117"/>
      <c r="C47" s="118"/>
      <c r="D47" s="118"/>
      <c r="E47" s="117"/>
      <c r="F47" s="117"/>
      <c r="G47" s="117"/>
      <c r="H47" s="117"/>
      <c r="I47" s="117"/>
      <c r="J47" s="117"/>
      <c r="K47" s="117"/>
      <c r="L47" s="117"/>
      <c r="M47" s="117"/>
      <c r="N47" s="117"/>
      <c r="O47" s="117"/>
      <c r="P47" s="117"/>
      <c r="Q47" s="117"/>
      <c r="R47" s="117"/>
      <c r="S47" s="117"/>
      <c r="T47" s="117"/>
      <c r="U47" s="117"/>
      <c r="V47" s="117"/>
      <c r="W47" s="117"/>
      <c r="X47" s="117"/>
      <c r="Y47" s="117"/>
      <c r="Z47" s="117"/>
      <c r="AC47" s="3" t="s">
        <v>1171</v>
      </c>
      <c r="AD47" t="s">
        <v>335</v>
      </c>
      <c r="AE47" s="9">
        <v>29</v>
      </c>
      <c r="AF47" t="s">
        <v>1856</v>
      </c>
      <c r="BK47" s="3"/>
      <c r="BL47" s="3"/>
      <c r="BM47" s="3"/>
    </row>
    <row r="48" spans="1:66" x14ac:dyDescent="0.2">
      <c r="B48" s="117"/>
      <c r="C48" s="118"/>
      <c r="D48" s="118"/>
      <c r="E48" s="117"/>
      <c r="F48" s="117"/>
      <c r="G48" s="117"/>
      <c r="H48" s="117"/>
      <c r="I48" s="117"/>
      <c r="J48" s="117"/>
      <c r="K48" s="117"/>
      <c r="L48" s="117"/>
      <c r="M48" s="117"/>
      <c r="N48" s="117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C48" s="3" t="s">
        <v>1199</v>
      </c>
      <c r="AD48" t="s">
        <v>1311</v>
      </c>
      <c r="AE48" s="9">
        <v>30</v>
      </c>
      <c r="AF48" t="s">
        <v>1856</v>
      </c>
      <c r="BI48" s="3"/>
    </row>
    <row r="49" spans="1:42" x14ac:dyDescent="0.2">
      <c r="B49" s="117"/>
      <c r="C49" s="118"/>
      <c r="D49" s="118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C49" s="3" t="s">
        <v>1191</v>
      </c>
      <c r="AD49" t="s">
        <v>365</v>
      </c>
      <c r="AE49" s="9">
        <v>31</v>
      </c>
      <c r="AF49" t="s">
        <v>1856</v>
      </c>
      <c r="AN49"/>
      <c r="AO49"/>
      <c r="AP49"/>
    </row>
    <row r="50" spans="1:42" x14ac:dyDescent="0.2">
      <c r="B50" s="117"/>
      <c r="C50" s="119"/>
      <c r="D50" s="119"/>
      <c r="E50" s="117"/>
      <c r="F50" s="117"/>
      <c r="G50" s="117"/>
      <c r="H50" s="117"/>
      <c r="I50" s="117"/>
      <c r="J50" s="117"/>
      <c r="K50" s="117"/>
      <c r="L50" s="117"/>
      <c r="M50" s="117"/>
      <c r="N50" s="117"/>
      <c r="O50" s="117"/>
      <c r="P50" s="120"/>
      <c r="Q50" s="120"/>
      <c r="R50" s="117"/>
      <c r="S50" s="117"/>
      <c r="T50" s="117"/>
      <c r="U50" s="117"/>
      <c r="V50" s="117"/>
      <c r="W50" s="117"/>
      <c r="X50" s="117"/>
      <c r="Y50" s="117"/>
      <c r="Z50" s="117"/>
      <c r="AC50" s="3" t="s">
        <v>2030</v>
      </c>
      <c r="AD50" t="s">
        <v>2031</v>
      </c>
      <c r="AE50" s="9">
        <v>32</v>
      </c>
      <c r="AF50" t="s">
        <v>1643</v>
      </c>
      <c r="AN50"/>
      <c r="AO50"/>
      <c r="AP50"/>
    </row>
    <row r="51" spans="1:42" x14ac:dyDescent="0.2">
      <c r="B51" s="117"/>
      <c r="C51" s="121"/>
      <c r="D51" s="117"/>
      <c r="E51" s="117"/>
      <c r="F51" s="117"/>
      <c r="G51" s="117"/>
      <c r="H51" s="117"/>
      <c r="I51" s="117"/>
      <c r="J51" s="117"/>
      <c r="K51" s="117"/>
      <c r="L51" s="117"/>
      <c r="M51" s="117"/>
      <c r="N51" s="117"/>
      <c r="O51" s="117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C51" s="3" t="s">
        <v>821</v>
      </c>
      <c r="AD51" t="s">
        <v>301</v>
      </c>
      <c r="AE51" s="9">
        <v>33</v>
      </c>
      <c r="AF51" t="s">
        <v>1643</v>
      </c>
      <c r="AN51"/>
      <c r="AO51"/>
      <c r="AP51"/>
    </row>
    <row r="52" spans="1:42" x14ac:dyDescent="0.2">
      <c r="B52" s="117"/>
      <c r="C52" s="117"/>
      <c r="D52" s="117"/>
      <c r="E52" s="117"/>
      <c r="F52" s="117"/>
      <c r="G52" s="117"/>
      <c r="H52" s="117"/>
      <c r="I52" s="117"/>
      <c r="J52" s="117"/>
      <c r="K52" s="117"/>
      <c r="L52" s="117"/>
      <c r="M52" s="117"/>
      <c r="N52" s="117"/>
      <c r="O52" s="117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C52" s="3" t="s">
        <v>712</v>
      </c>
      <c r="AD52" t="s">
        <v>569</v>
      </c>
      <c r="AE52" s="9">
        <v>34</v>
      </c>
      <c r="AF52" t="s">
        <v>1856</v>
      </c>
      <c r="AN52"/>
      <c r="AO52"/>
      <c r="AP52"/>
    </row>
    <row r="53" spans="1:42" x14ac:dyDescent="0.2">
      <c r="B53" s="117"/>
      <c r="C53" s="117"/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22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C53" s="3" t="s">
        <v>1189</v>
      </c>
      <c r="AD53" t="s">
        <v>292</v>
      </c>
      <c r="AE53" s="9">
        <v>35</v>
      </c>
      <c r="AF53" t="s">
        <v>1856</v>
      </c>
      <c r="AN53"/>
      <c r="AO53"/>
      <c r="AP53"/>
    </row>
    <row r="54" spans="1:42" x14ac:dyDescent="0.2">
      <c r="B54" s="117"/>
      <c r="C54" s="117"/>
      <c r="D54" s="117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C54" s="3" t="s">
        <v>822</v>
      </c>
      <c r="AD54" t="s">
        <v>305</v>
      </c>
      <c r="AE54" s="9">
        <v>37</v>
      </c>
      <c r="AF54" t="s">
        <v>1643</v>
      </c>
      <c r="AN54"/>
      <c r="AO54"/>
      <c r="AP54"/>
    </row>
    <row r="55" spans="1:42" ht="24" x14ac:dyDescent="0.3">
      <c r="G55" s="78"/>
      <c r="H55" s="78"/>
      <c r="I55" s="78"/>
      <c r="J55" s="78"/>
      <c r="K55" s="78"/>
      <c r="L55" s="78"/>
      <c r="M55" s="78"/>
      <c r="N55" s="78"/>
      <c r="AC55" s="3"/>
      <c r="AD55" t="s">
        <v>879</v>
      </c>
      <c r="AE55" s="9">
        <v>36</v>
      </c>
      <c r="AF55" t="s">
        <v>1643</v>
      </c>
    </row>
    <row r="56" spans="1:42" ht="24" x14ac:dyDescent="0.3">
      <c r="A56" s="452" t="s">
        <v>379</v>
      </c>
      <c r="B56" s="453"/>
      <c r="C56" s="453"/>
      <c r="D56" s="453"/>
      <c r="E56" s="453"/>
      <c r="F56" s="453"/>
      <c r="G56" s="453"/>
      <c r="H56" s="453"/>
      <c r="I56" s="453"/>
      <c r="J56" s="453"/>
      <c r="K56" s="453"/>
      <c r="L56" s="453"/>
      <c r="M56" s="453"/>
      <c r="N56" s="453"/>
      <c r="O56" s="453"/>
      <c r="P56" s="453"/>
      <c r="Q56" s="453"/>
      <c r="R56" s="453"/>
      <c r="S56" s="453"/>
      <c r="T56" s="453"/>
      <c r="U56" s="453"/>
      <c r="V56" s="453"/>
      <c r="W56" s="453"/>
      <c r="X56" s="453"/>
      <c r="Y56" s="453"/>
      <c r="Z56" s="453"/>
      <c r="AA56" s="454"/>
      <c r="AC56" s="3" t="s">
        <v>1200</v>
      </c>
      <c r="AD56" t="s">
        <v>1312</v>
      </c>
      <c r="AE56" s="9">
        <v>38</v>
      </c>
      <c r="AF56" t="s">
        <v>1856</v>
      </c>
    </row>
    <row r="57" spans="1:42" x14ac:dyDescent="0.2">
      <c r="AC57" s="3" t="s">
        <v>2036</v>
      </c>
      <c r="AD57" t="s">
        <v>2037</v>
      </c>
      <c r="AE57" s="9">
        <v>39</v>
      </c>
      <c r="AF57" t="s">
        <v>1643</v>
      </c>
    </row>
    <row r="58" spans="1:42" x14ac:dyDescent="0.2">
      <c r="B58" s="117"/>
      <c r="C58" s="118"/>
      <c r="D58" s="118"/>
      <c r="E58" s="117"/>
      <c r="F58" s="117"/>
      <c r="G58" s="117"/>
      <c r="H58" s="117"/>
      <c r="I58" s="117"/>
      <c r="J58" s="117"/>
      <c r="K58" s="117"/>
      <c r="L58" s="117"/>
      <c r="M58" s="117"/>
      <c r="N58" s="117"/>
      <c r="O58" s="117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C58" s="3" t="s">
        <v>1212</v>
      </c>
      <c r="AD58" t="s">
        <v>584</v>
      </c>
      <c r="AE58" s="9">
        <v>40</v>
      </c>
      <c r="AF58" t="s">
        <v>1643</v>
      </c>
    </row>
    <row r="59" spans="1:42" x14ac:dyDescent="0.2">
      <c r="B59" s="117"/>
      <c r="C59" s="118"/>
      <c r="D59" s="118"/>
      <c r="E59" s="117"/>
      <c r="F59" s="117"/>
      <c r="G59" s="117"/>
      <c r="H59" s="117"/>
      <c r="I59" s="117"/>
      <c r="J59" s="117"/>
      <c r="K59" s="117"/>
      <c r="L59" s="117"/>
      <c r="M59" s="117"/>
      <c r="N59" s="117"/>
      <c r="O59" s="117"/>
      <c r="P59" s="117"/>
      <c r="Q59" s="117"/>
      <c r="R59" s="117"/>
      <c r="S59" s="117"/>
      <c r="T59" s="117"/>
      <c r="U59" s="117"/>
      <c r="V59" s="117"/>
      <c r="W59" s="117"/>
      <c r="X59" s="117"/>
      <c r="Y59" s="117"/>
      <c r="Z59" s="117"/>
      <c r="AC59" s="3" t="s">
        <v>929</v>
      </c>
      <c r="AD59" t="s">
        <v>300</v>
      </c>
      <c r="AE59" s="9">
        <v>41</v>
      </c>
      <c r="AF59" t="s">
        <v>1643</v>
      </c>
    </row>
    <row r="60" spans="1:42" x14ac:dyDescent="0.2">
      <c r="B60" s="117"/>
      <c r="C60" s="118"/>
      <c r="D60" s="118"/>
      <c r="E60" s="117"/>
      <c r="F60" s="117"/>
      <c r="G60" s="117"/>
      <c r="H60" s="117"/>
      <c r="I60" s="117"/>
      <c r="J60" s="117"/>
      <c r="K60" s="117"/>
      <c r="L60" s="117"/>
      <c r="M60" s="117"/>
      <c r="N60" s="117"/>
      <c r="O60" s="117"/>
      <c r="P60" s="117"/>
      <c r="Q60" s="117"/>
      <c r="R60" s="117"/>
      <c r="S60" s="117"/>
      <c r="T60" s="117"/>
      <c r="U60" s="117"/>
      <c r="V60" s="117"/>
      <c r="W60" s="117"/>
      <c r="X60" s="117"/>
      <c r="Y60" s="117"/>
      <c r="Z60" s="117"/>
      <c r="AC60" s="3" t="s">
        <v>1193</v>
      </c>
      <c r="AD60" t="s">
        <v>290</v>
      </c>
      <c r="AE60" s="9">
        <v>42</v>
      </c>
      <c r="AF60" t="s">
        <v>1856</v>
      </c>
    </row>
    <row r="61" spans="1:42" x14ac:dyDescent="0.2">
      <c r="B61" s="117"/>
      <c r="C61" s="118"/>
      <c r="D61" s="118"/>
      <c r="E61" s="117"/>
      <c r="F61" s="117"/>
      <c r="G61" s="117"/>
      <c r="H61" s="117"/>
      <c r="I61" s="117"/>
      <c r="J61" s="117"/>
      <c r="K61" s="117"/>
      <c r="L61" s="117"/>
      <c r="M61" s="117"/>
      <c r="N61" s="117"/>
      <c r="O61" s="117"/>
      <c r="P61" s="117"/>
      <c r="Q61" s="117"/>
      <c r="R61" s="117"/>
      <c r="S61" s="117"/>
      <c r="T61" s="117"/>
      <c r="U61" s="117"/>
      <c r="V61" s="117"/>
      <c r="W61" s="117"/>
      <c r="X61" s="117"/>
      <c r="Y61" s="117"/>
      <c r="Z61" s="117"/>
      <c r="AC61" s="3" t="s">
        <v>1213</v>
      </c>
      <c r="AD61" t="s">
        <v>1321</v>
      </c>
      <c r="AE61" s="9">
        <v>43</v>
      </c>
      <c r="AF61" t="s">
        <v>1856</v>
      </c>
    </row>
    <row r="62" spans="1:42" x14ac:dyDescent="0.2">
      <c r="B62" s="117"/>
      <c r="C62" s="119"/>
      <c r="D62" s="119"/>
      <c r="E62" s="117"/>
      <c r="F62" s="117"/>
      <c r="G62" s="117"/>
      <c r="H62" s="117"/>
      <c r="I62" s="117"/>
      <c r="J62" s="117"/>
      <c r="K62" s="117"/>
      <c r="L62" s="117"/>
      <c r="M62" s="117"/>
      <c r="N62" s="117"/>
      <c r="O62" s="117"/>
      <c r="P62" s="120"/>
      <c r="Q62" s="120"/>
      <c r="R62" s="117"/>
      <c r="S62" s="117"/>
      <c r="T62" s="117"/>
      <c r="U62" s="117"/>
      <c r="V62" s="117"/>
      <c r="W62" s="117"/>
      <c r="X62" s="117"/>
      <c r="Y62" s="117"/>
      <c r="Z62" s="117"/>
      <c r="AC62" s="3" t="s">
        <v>2032</v>
      </c>
      <c r="AD62" t="s">
        <v>2033</v>
      </c>
      <c r="AE62" s="9">
        <v>44</v>
      </c>
      <c r="AF62" t="s">
        <v>1643</v>
      </c>
    </row>
    <row r="63" spans="1:42" x14ac:dyDescent="0.2">
      <c r="B63" s="117"/>
      <c r="C63" s="121"/>
      <c r="D63" s="117"/>
      <c r="E63" s="117"/>
      <c r="F63" s="117"/>
      <c r="G63" s="117"/>
      <c r="H63" s="117"/>
      <c r="I63" s="117"/>
      <c r="J63" s="117"/>
      <c r="K63" s="117"/>
      <c r="L63" s="117"/>
      <c r="M63" s="117"/>
      <c r="N63" s="117"/>
      <c r="O63" s="117"/>
      <c r="P63" s="117"/>
      <c r="Q63" s="117"/>
      <c r="R63" s="117"/>
      <c r="S63" s="117"/>
      <c r="T63" s="117"/>
      <c r="U63" s="117"/>
      <c r="V63" s="117"/>
      <c r="W63" s="117"/>
      <c r="X63" s="117"/>
      <c r="Y63" s="117"/>
      <c r="Z63" s="117"/>
      <c r="AC63" s="3" t="s">
        <v>844</v>
      </c>
      <c r="AD63" t="s">
        <v>868</v>
      </c>
      <c r="AE63" s="9">
        <v>45</v>
      </c>
      <c r="AF63" t="s">
        <v>1643</v>
      </c>
    </row>
    <row r="64" spans="1:42" x14ac:dyDescent="0.2">
      <c r="B64" s="117"/>
      <c r="C64" s="117"/>
      <c r="D64" s="117"/>
      <c r="E64" s="117"/>
      <c r="F64" s="117"/>
      <c r="G64" s="117"/>
      <c r="H64" s="117"/>
      <c r="I64" s="117"/>
      <c r="J64" s="117"/>
      <c r="K64" s="117"/>
      <c r="L64" s="117"/>
      <c r="M64" s="117"/>
      <c r="N64" s="117"/>
      <c r="O64" s="117"/>
      <c r="P64" s="117"/>
      <c r="Q64" s="117"/>
      <c r="R64" s="117"/>
      <c r="S64" s="117"/>
      <c r="T64" s="117"/>
      <c r="U64" s="117"/>
      <c r="V64" s="117"/>
      <c r="W64" s="117"/>
      <c r="X64" s="117"/>
      <c r="Y64" s="117"/>
      <c r="Z64" s="117"/>
      <c r="AC64" s="3"/>
      <c r="AD64" t="s">
        <v>869</v>
      </c>
      <c r="AE64" s="9">
        <v>46</v>
      </c>
      <c r="AF64" t="s">
        <v>1643</v>
      </c>
    </row>
    <row r="65" spans="1:32" x14ac:dyDescent="0.2">
      <c r="B65" s="117"/>
      <c r="C65" s="117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17"/>
      <c r="O65" s="122"/>
      <c r="P65" s="117"/>
      <c r="Q65" s="117"/>
      <c r="R65" s="117"/>
      <c r="S65" s="117"/>
      <c r="T65" s="117"/>
      <c r="U65" s="117"/>
      <c r="V65" s="117"/>
      <c r="W65" s="117"/>
      <c r="X65" s="117"/>
      <c r="Y65" s="117"/>
      <c r="Z65" s="117"/>
      <c r="AC65" s="3" t="s">
        <v>1210</v>
      </c>
      <c r="AD65" t="s">
        <v>1319</v>
      </c>
      <c r="AE65" s="9">
        <v>47</v>
      </c>
      <c r="AF65" t="s">
        <v>1856</v>
      </c>
    </row>
    <row r="66" spans="1:32" x14ac:dyDescent="0.2">
      <c r="B66" s="117"/>
      <c r="C66" s="117"/>
      <c r="D66" s="117"/>
      <c r="E66" s="117"/>
      <c r="F66" s="117"/>
      <c r="G66" s="117"/>
      <c r="H66" s="117"/>
      <c r="I66" s="117"/>
      <c r="J66" s="117"/>
      <c r="K66" s="117"/>
      <c r="L66" s="117"/>
      <c r="M66" s="117"/>
      <c r="N66" s="117"/>
      <c r="O66" s="117"/>
      <c r="P66" s="117"/>
      <c r="Q66" s="117"/>
      <c r="R66" s="117"/>
      <c r="S66" s="117"/>
      <c r="T66" s="117"/>
      <c r="U66" s="117"/>
      <c r="V66" s="117"/>
      <c r="W66" s="117"/>
      <c r="X66" s="117"/>
      <c r="Y66" s="117"/>
      <c r="Z66" s="117"/>
      <c r="AC66" s="3" t="s">
        <v>1602</v>
      </c>
      <c r="AD66" t="s">
        <v>950</v>
      </c>
      <c r="AE66" s="9">
        <v>48</v>
      </c>
      <c r="AF66" t="s">
        <v>1643</v>
      </c>
    </row>
    <row r="67" spans="1:32" x14ac:dyDescent="0.2">
      <c r="G67" s="1"/>
      <c r="H67" s="1"/>
      <c r="I67" s="1"/>
      <c r="J67" s="1"/>
      <c r="K67" s="1"/>
      <c r="L67" s="1"/>
      <c r="M67" s="1"/>
      <c r="N67" s="1"/>
      <c r="AC67" s="3" t="s">
        <v>2038</v>
      </c>
      <c r="AD67" t="s">
        <v>639</v>
      </c>
      <c r="AE67" s="9">
        <v>49</v>
      </c>
      <c r="AF67" t="s">
        <v>1643</v>
      </c>
    </row>
    <row r="68" spans="1:32" ht="24" x14ac:dyDescent="0.3">
      <c r="A68" s="86" t="s">
        <v>121</v>
      </c>
      <c r="AC68" s="3" t="s">
        <v>581</v>
      </c>
      <c r="AD68" t="s">
        <v>582</v>
      </c>
      <c r="AE68" s="9">
        <v>50</v>
      </c>
      <c r="AF68" t="s">
        <v>1643</v>
      </c>
    </row>
    <row r="69" spans="1:32" x14ac:dyDescent="0.2">
      <c r="A69" s="6" t="s">
        <v>157</v>
      </c>
      <c r="AC69" s="3" t="s">
        <v>1203</v>
      </c>
      <c r="AD69" t="s">
        <v>343</v>
      </c>
      <c r="AE69" s="9">
        <v>51</v>
      </c>
      <c r="AF69" t="s">
        <v>1643</v>
      </c>
    </row>
    <row r="70" spans="1:32" x14ac:dyDescent="0.2">
      <c r="A70" s="6" t="s">
        <v>122</v>
      </c>
      <c r="AC70" s="3" t="s">
        <v>1208</v>
      </c>
      <c r="AD70" t="s">
        <v>303</v>
      </c>
      <c r="AE70" s="9">
        <v>52</v>
      </c>
      <c r="AF70" t="s">
        <v>1856</v>
      </c>
    </row>
    <row r="71" spans="1:32" x14ac:dyDescent="0.2">
      <c r="A71" s="6" t="s">
        <v>126</v>
      </c>
      <c r="AC71" s="3" t="s">
        <v>1206</v>
      </c>
      <c r="AD71" t="s">
        <v>322</v>
      </c>
      <c r="AE71" s="9">
        <v>54</v>
      </c>
      <c r="AF71" t="s">
        <v>1643</v>
      </c>
    </row>
    <row r="72" spans="1:32" x14ac:dyDescent="0.2">
      <c r="A72" s="6" t="s">
        <v>123</v>
      </c>
      <c r="AC72" s="3"/>
      <c r="AD72" t="s">
        <v>1317</v>
      </c>
      <c r="AE72" s="9">
        <v>53</v>
      </c>
      <c r="AF72" t="s">
        <v>1643</v>
      </c>
    </row>
    <row r="73" spans="1:32" x14ac:dyDescent="0.2">
      <c r="A73" s="6" t="s">
        <v>124</v>
      </c>
      <c r="AC73" s="3" t="s">
        <v>830</v>
      </c>
      <c r="AD73" t="s">
        <v>1325</v>
      </c>
      <c r="AE73" s="9">
        <v>55</v>
      </c>
      <c r="AF73" t="s">
        <v>1643</v>
      </c>
    </row>
    <row r="74" spans="1:32" x14ac:dyDescent="0.2">
      <c r="A74" s="6" t="s">
        <v>125</v>
      </c>
      <c r="AC74" s="3"/>
      <c r="AD74" t="s">
        <v>1014</v>
      </c>
      <c r="AE74" s="9">
        <v>56</v>
      </c>
      <c r="AF74" t="s">
        <v>1856</v>
      </c>
    </row>
    <row r="75" spans="1:32" x14ac:dyDescent="0.2">
      <c r="AC75" s="3" t="s">
        <v>95</v>
      </c>
      <c r="AD75" t="s">
        <v>330</v>
      </c>
      <c r="AE75" s="9">
        <v>57</v>
      </c>
      <c r="AF75" t="s">
        <v>1643</v>
      </c>
    </row>
    <row r="76" spans="1:32" x14ac:dyDescent="0.2">
      <c r="G76" s="6"/>
      <c r="H76" s="6"/>
      <c r="I76" s="6"/>
      <c r="J76" s="6"/>
      <c r="K76" s="6"/>
      <c r="L76" s="6"/>
      <c r="M76" s="6"/>
      <c r="N76" s="6"/>
      <c r="AC76" s="3" t="s">
        <v>1525</v>
      </c>
      <c r="AD76" t="s">
        <v>1548</v>
      </c>
      <c r="AE76" s="9">
        <v>58</v>
      </c>
      <c r="AF76" t="s">
        <v>1643</v>
      </c>
    </row>
    <row r="77" spans="1:32" x14ac:dyDescent="0.2">
      <c r="G77" s="6"/>
      <c r="H77" s="6"/>
      <c r="I77" s="6"/>
      <c r="J77" s="6"/>
      <c r="K77" s="6"/>
      <c r="L77" s="6"/>
      <c r="M77" s="6"/>
      <c r="N77" s="6"/>
      <c r="AC77" s="3" t="s">
        <v>655</v>
      </c>
      <c r="AD77" t="s">
        <v>364</v>
      </c>
      <c r="AE77" s="9">
        <v>59</v>
      </c>
      <c r="AF77" t="s">
        <v>1643</v>
      </c>
    </row>
    <row r="78" spans="1:32" x14ac:dyDescent="0.2">
      <c r="AC78" s="3" t="s">
        <v>1186</v>
      </c>
      <c r="AD78" t="s">
        <v>1304</v>
      </c>
      <c r="AE78" s="9">
        <v>60</v>
      </c>
      <c r="AF78" t="s">
        <v>1856</v>
      </c>
    </row>
    <row r="79" spans="1:32" x14ac:dyDescent="0.2">
      <c r="AC79" s="3" t="s">
        <v>1629</v>
      </c>
      <c r="AD79" t="s">
        <v>317</v>
      </c>
      <c r="AE79" s="9">
        <v>61</v>
      </c>
      <c r="AF79" t="s">
        <v>1856</v>
      </c>
    </row>
    <row r="80" spans="1:32" x14ac:dyDescent="0.2">
      <c r="AC80" s="3" t="s">
        <v>823</v>
      </c>
      <c r="AD80" t="s">
        <v>859</v>
      </c>
      <c r="AE80" s="9">
        <v>62</v>
      </c>
      <c r="AF80" t="s">
        <v>1856</v>
      </c>
    </row>
    <row r="81" spans="29:32" x14ac:dyDescent="0.2">
      <c r="AC81" s="3" t="s">
        <v>1202</v>
      </c>
      <c r="AD81" t="s">
        <v>1314</v>
      </c>
      <c r="AE81" s="9">
        <v>63</v>
      </c>
      <c r="AF81" t="s">
        <v>1856</v>
      </c>
    </row>
    <row r="82" spans="29:32" x14ac:dyDescent="0.2">
      <c r="AC82" s="3" t="s">
        <v>492</v>
      </c>
      <c r="AD82" t="s">
        <v>567</v>
      </c>
      <c r="AE82" s="9">
        <v>64</v>
      </c>
      <c r="AF82" t="s">
        <v>1643</v>
      </c>
    </row>
    <row r="83" spans="29:32" x14ac:dyDescent="0.2">
      <c r="AC83" s="3" t="s">
        <v>2039</v>
      </c>
      <c r="AD83" t="s">
        <v>2040</v>
      </c>
      <c r="AE83" s="9">
        <v>65</v>
      </c>
      <c r="AF83" t="s">
        <v>1643</v>
      </c>
    </row>
    <row r="84" spans="29:32" x14ac:dyDescent="0.2">
      <c r="AC84" s="3" t="s">
        <v>2041</v>
      </c>
      <c r="AD84" t="s">
        <v>952</v>
      </c>
      <c r="AE84" s="9">
        <v>66</v>
      </c>
      <c r="AF84" t="s">
        <v>1643</v>
      </c>
    </row>
    <row r="85" spans="29:32" x14ac:dyDescent="0.2">
      <c r="AC85" s="3" t="s">
        <v>1217</v>
      </c>
      <c r="AD85" t="s">
        <v>338</v>
      </c>
      <c r="AE85" s="9">
        <v>67</v>
      </c>
      <c r="AF85" t="s">
        <v>1856</v>
      </c>
    </row>
    <row r="86" spans="29:32" x14ac:dyDescent="0.2">
      <c r="AC86" s="3" t="s">
        <v>925</v>
      </c>
      <c r="AD86" t="s">
        <v>461</v>
      </c>
      <c r="AE86" s="9">
        <v>68</v>
      </c>
      <c r="AF86" t="s">
        <v>1856</v>
      </c>
    </row>
    <row r="87" spans="29:32" x14ac:dyDescent="0.2">
      <c r="AC87" s="3" t="s">
        <v>1216</v>
      </c>
      <c r="AD87" t="s">
        <v>1322</v>
      </c>
      <c r="AE87" s="9">
        <v>69</v>
      </c>
      <c r="AF87" t="s">
        <v>1856</v>
      </c>
    </row>
    <row r="88" spans="29:32" x14ac:dyDescent="0.2">
      <c r="AC88" s="3"/>
      <c r="AD88" t="s">
        <v>1268</v>
      </c>
      <c r="AE88" s="9">
        <v>70</v>
      </c>
      <c r="AF88" t="s">
        <v>1856</v>
      </c>
    </row>
    <row r="89" spans="29:32" x14ac:dyDescent="0.2">
      <c r="AC89" s="3" t="s">
        <v>1630</v>
      </c>
      <c r="AD89" t="s">
        <v>672</v>
      </c>
      <c r="AE89" s="9">
        <v>71</v>
      </c>
      <c r="AF89" t="s">
        <v>1856</v>
      </c>
    </row>
    <row r="90" spans="29:32" x14ac:dyDescent="0.2">
      <c r="AC90" s="3" t="s">
        <v>1220</v>
      </c>
      <c r="AD90" t="s">
        <v>337</v>
      </c>
      <c r="AE90" s="9">
        <v>72</v>
      </c>
      <c r="AF90" t="s">
        <v>1856</v>
      </c>
    </row>
    <row r="91" spans="29:32" x14ac:dyDescent="0.2">
      <c r="AC91" s="3" t="s">
        <v>591</v>
      </c>
      <c r="AD91" t="s">
        <v>517</v>
      </c>
      <c r="AE91" s="9">
        <v>73</v>
      </c>
      <c r="AF91" t="s">
        <v>1643</v>
      </c>
    </row>
    <row r="92" spans="29:32" x14ac:dyDescent="0.2">
      <c r="AC92" s="3" t="s">
        <v>72</v>
      </c>
      <c r="AD92" t="s">
        <v>336</v>
      </c>
      <c r="AE92" s="9">
        <v>74</v>
      </c>
      <c r="AF92" t="s">
        <v>1856</v>
      </c>
    </row>
    <row r="93" spans="29:32" x14ac:dyDescent="0.2">
      <c r="AC93" s="3" t="s">
        <v>1197</v>
      </c>
      <c r="AD93" t="s">
        <v>1288</v>
      </c>
      <c r="AE93" s="9">
        <v>75</v>
      </c>
      <c r="AF93" t="s">
        <v>1856</v>
      </c>
    </row>
    <row r="94" spans="29:32" x14ac:dyDescent="0.2">
      <c r="AC94" s="3" t="s">
        <v>2042</v>
      </c>
      <c r="AD94" t="s">
        <v>2043</v>
      </c>
      <c r="AE94" s="9">
        <v>76</v>
      </c>
      <c r="AF94" t="s">
        <v>1643</v>
      </c>
    </row>
    <row r="95" spans="29:32" x14ac:dyDescent="0.2">
      <c r="AC95" s="3" t="s">
        <v>1192</v>
      </c>
      <c r="AD95" t="s">
        <v>599</v>
      </c>
      <c r="AE95" s="9">
        <v>77</v>
      </c>
      <c r="AF95" t="s">
        <v>1856</v>
      </c>
    </row>
    <row r="96" spans="29:32" x14ac:dyDescent="0.2">
      <c r="AC96" s="3" t="s">
        <v>1871</v>
      </c>
      <c r="AD96" t="s">
        <v>1271</v>
      </c>
      <c r="AE96" s="9">
        <v>78</v>
      </c>
      <c r="AF96" t="s">
        <v>1643</v>
      </c>
    </row>
    <row r="97" spans="29:32" x14ac:dyDescent="0.2">
      <c r="AC97" s="3" t="s">
        <v>593</v>
      </c>
      <c r="AD97" t="s">
        <v>449</v>
      </c>
      <c r="AE97" s="9">
        <v>79</v>
      </c>
      <c r="AF97" t="s">
        <v>1643</v>
      </c>
    </row>
    <row r="98" spans="29:32" x14ac:dyDescent="0.2">
      <c r="AC98" s="3" t="s">
        <v>1215</v>
      </c>
      <c r="AD98" t="s">
        <v>315</v>
      </c>
      <c r="AE98" s="9">
        <v>80</v>
      </c>
      <c r="AF98" t="s">
        <v>1643</v>
      </c>
    </row>
    <row r="99" spans="29:32" x14ac:dyDescent="0.2">
      <c r="AC99" s="3" t="s">
        <v>1214</v>
      </c>
      <c r="AD99" t="s">
        <v>298</v>
      </c>
      <c r="AE99" s="9">
        <v>81</v>
      </c>
      <c r="AF99" t="s">
        <v>1856</v>
      </c>
    </row>
    <row r="100" spans="29:32" x14ac:dyDescent="0.2">
      <c r="AC100" s="3" t="s">
        <v>1188</v>
      </c>
      <c r="AD100" t="s">
        <v>1305</v>
      </c>
      <c r="AE100" s="9">
        <v>82</v>
      </c>
      <c r="AF100" t="s">
        <v>1856</v>
      </c>
    </row>
    <row r="101" spans="29:32" x14ac:dyDescent="0.2">
      <c r="AC101" s="3" t="s">
        <v>1218</v>
      </c>
      <c r="AD101" t="s">
        <v>661</v>
      </c>
      <c r="AE101" s="9">
        <v>83</v>
      </c>
      <c r="AF101" t="s">
        <v>1643</v>
      </c>
    </row>
    <row r="102" spans="29:32" x14ac:dyDescent="0.2">
      <c r="AC102" s="3" t="s">
        <v>1746</v>
      </c>
      <c r="AD102" t="s">
        <v>1747</v>
      </c>
      <c r="AE102" s="9">
        <v>84</v>
      </c>
      <c r="AF102" t="s">
        <v>1643</v>
      </c>
    </row>
    <row r="103" spans="29:32" x14ac:dyDescent="0.2">
      <c r="AC103" s="3" t="s">
        <v>1201</v>
      </c>
      <c r="AD103" t="s">
        <v>1313</v>
      </c>
      <c r="AE103" s="9">
        <v>85</v>
      </c>
      <c r="AF103" t="s">
        <v>1643</v>
      </c>
    </row>
    <row r="104" spans="29:32" x14ac:dyDescent="0.2">
      <c r="AC104" s="3" t="s">
        <v>1185</v>
      </c>
      <c r="AD104" t="s">
        <v>1307</v>
      </c>
      <c r="AE104" s="9">
        <v>86</v>
      </c>
      <c r="AF104" t="s">
        <v>1856</v>
      </c>
    </row>
    <row r="105" spans="29:32" x14ac:dyDescent="0.2">
      <c r="AC105" s="3"/>
      <c r="AD105" t="s">
        <v>867</v>
      </c>
      <c r="AE105" s="9">
        <v>87</v>
      </c>
      <c r="AF105" t="s">
        <v>1856</v>
      </c>
    </row>
    <row r="106" spans="29:32" x14ac:dyDescent="0.2">
      <c r="AC106" s="3"/>
      <c r="AD106" t="s">
        <v>576</v>
      </c>
      <c r="AE106" s="9">
        <v>88</v>
      </c>
      <c r="AF106" t="s">
        <v>1856</v>
      </c>
    </row>
    <row r="107" spans="29:32" x14ac:dyDescent="0.2">
      <c r="AC107" s="3" t="s">
        <v>73</v>
      </c>
      <c r="AD107" t="s">
        <v>342</v>
      </c>
      <c r="AE107" s="9">
        <v>90</v>
      </c>
      <c r="AF107" t="s">
        <v>1643</v>
      </c>
    </row>
    <row r="108" spans="29:32" x14ac:dyDescent="0.2">
      <c r="AC108" s="3"/>
      <c r="AD108" t="s">
        <v>1013</v>
      </c>
      <c r="AE108" s="9">
        <v>89</v>
      </c>
      <c r="AF108" t="s">
        <v>1643</v>
      </c>
    </row>
    <row r="109" spans="29:32" x14ac:dyDescent="0.2">
      <c r="AC109" s="3" t="s">
        <v>1223</v>
      </c>
      <c r="AD109" t="s">
        <v>1323</v>
      </c>
      <c r="AE109" s="9">
        <v>91</v>
      </c>
      <c r="AF109" t="s">
        <v>1856</v>
      </c>
    </row>
    <row r="110" spans="29:32" x14ac:dyDescent="0.2">
      <c r="AC110" s="3" t="s">
        <v>1196</v>
      </c>
      <c r="AD110" t="s">
        <v>1309</v>
      </c>
      <c r="AE110" s="9">
        <v>92</v>
      </c>
      <c r="AF110" t="s">
        <v>1856</v>
      </c>
    </row>
    <row r="111" spans="29:32" x14ac:dyDescent="0.2">
      <c r="AC111" s="3" t="s">
        <v>1205</v>
      </c>
      <c r="AD111" t="s">
        <v>1316</v>
      </c>
      <c r="AE111" s="9">
        <v>93</v>
      </c>
      <c r="AF111" t="s">
        <v>1856</v>
      </c>
    </row>
    <row r="112" spans="29:32" x14ac:dyDescent="0.2">
      <c r="AC112" s="3" t="s">
        <v>747</v>
      </c>
      <c r="AD112" t="s">
        <v>762</v>
      </c>
      <c r="AE112" s="9">
        <v>94</v>
      </c>
      <c r="AF112" t="s">
        <v>1643</v>
      </c>
    </row>
    <row r="113" spans="29:32" x14ac:dyDescent="0.2">
      <c r="AC113" s="3" t="s">
        <v>748</v>
      </c>
      <c r="AD113" t="s">
        <v>763</v>
      </c>
      <c r="AE113" s="9">
        <v>95</v>
      </c>
      <c r="AF113" t="s">
        <v>1856</v>
      </c>
    </row>
    <row r="114" spans="29:32" x14ac:dyDescent="0.2">
      <c r="AC114" s="3" t="s">
        <v>1187</v>
      </c>
      <c r="AD114" t="s">
        <v>320</v>
      </c>
      <c r="AE114" s="9">
        <v>96</v>
      </c>
      <c r="AF114" t="s">
        <v>1643</v>
      </c>
    </row>
    <row r="115" spans="29:32" x14ac:dyDescent="0.2">
      <c r="AC115" s="3" t="s">
        <v>441</v>
      </c>
      <c r="AD115" t="s">
        <v>283</v>
      </c>
      <c r="AE115" s="9">
        <v>97</v>
      </c>
      <c r="AF115" t="s">
        <v>1643</v>
      </c>
    </row>
    <row r="116" spans="29:32" x14ac:dyDescent="0.2">
      <c r="AC116" s="3" t="s">
        <v>1222</v>
      </c>
      <c r="AD116" t="s">
        <v>322</v>
      </c>
      <c r="AE116" s="9">
        <v>98</v>
      </c>
      <c r="AF116" t="s">
        <v>1856</v>
      </c>
    </row>
    <row r="117" spans="29:32" x14ac:dyDescent="0.2">
      <c r="AC117" s="3" t="s">
        <v>926</v>
      </c>
      <c r="AD117" t="s">
        <v>942</v>
      </c>
      <c r="AE117" s="9">
        <v>99</v>
      </c>
      <c r="AF117" t="s">
        <v>1643</v>
      </c>
    </row>
    <row r="118" spans="29:32" x14ac:dyDescent="0.2">
      <c r="AC118" s="3" t="s">
        <v>1631</v>
      </c>
      <c r="AD118" t="s">
        <v>1640</v>
      </c>
      <c r="AE118" s="9">
        <v>100</v>
      </c>
      <c r="AF118" t="s">
        <v>1643</v>
      </c>
    </row>
    <row r="119" spans="29:32" x14ac:dyDescent="0.2">
      <c r="AC119" s="3" t="s">
        <v>1190</v>
      </c>
      <c r="AD119" t="s">
        <v>1310</v>
      </c>
      <c r="AE119" s="9">
        <v>101</v>
      </c>
      <c r="AF119" t="s">
        <v>1856</v>
      </c>
    </row>
    <row r="120" spans="29:32" x14ac:dyDescent="0.2">
      <c r="AC120" s="3"/>
      <c r="AD120" t="s">
        <v>1306</v>
      </c>
      <c r="AE120" s="9">
        <v>102</v>
      </c>
      <c r="AF120" t="s">
        <v>1856</v>
      </c>
    </row>
  </sheetData>
  <sheetProtection algorithmName="SHA-512" hashValue="2YgXeLRl36Ou/g4DwFrBHA/RJ05lAx/qsx14oJKUacBixJBifAtFj4r4S/RUhH8ocFaMUuAH8QcETC0UjGVqeA==" saltValue="a4WGnFoAUKQM5grA1Y6yHw==" spinCount="100000" sheet="1" pivotTables="0"/>
  <mergeCells count="23">
    <mergeCell ref="A40:I40"/>
    <mergeCell ref="A44:AA44"/>
    <mergeCell ref="A56:AA56"/>
    <mergeCell ref="I3:L3"/>
    <mergeCell ref="J13:K13"/>
    <mergeCell ref="Y13:Z13"/>
    <mergeCell ref="A36:AA36"/>
    <mergeCell ref="N37:R37"/>
    <mergeCell ref="J10:K10"/>
    <mergeCell ref="Y10:Z10"/>
    <mergeCell ref="J11:K11"/>
    <mergeCell ref="Y11:Z11"/>
    <mergeCell ref="J12:K12"/>
    <mergeCell ref="Y12:Z12"/>
    <mergeCell ref="D3:E3"/>
    <mergeCell ref="N38:R38"/>
    <mergeCell ref="Y9:Z9"/>
    <mergeCell ref="S38:W38"/>
    <mergeCell ref="A39:I39"/>
    <mergeCell ref="D2:E2"/>
    <mergeCell ref="B6:D6"/>
    <mergeCell ref="N6:P6"/>
    <mergeCell ref="J9:K9"/>
  </mergeCells>
  <conditionalFormatting sqref="A17:E21 A27:E31">
    <cfRule type="cellIs" dxfId="84" priority="1" operator="lessThan">
      <formula>0</formula>
    </cfRule>
    <cfRule type="expression" dxfId="83" priority="7">
      <formula>OR(RIGHT($O17,4)="W.O.",RIGHT($F17,4)="W.O.")</formula>
    </cfRule>
    <cfRule type="expression" dxfId="82" priority="9">
      <formula>AND(AND(($A$17=""),($A$18=""),AND($A$19="")),AND($A$27="",$A$28=""))</formula>
    </cfRule>
    <cfRule type="cellIs" dxfId="81" priority="10" operator="greaterThan">
      <formula>0</formula>
    </cfRule>
  </conditionalFormatting>
  <conditionalFormatting sqref="F17:F21">
    <cfRule type="expression" dxfId="80" priority="6">
      <formula>AND(ISNUMBER(L17),L17&gt;0)</formula>
    </cfRule>
  </conditionalFormatting>
  <conditionalFormatting sqref="F27:F31">
    <cfRule type="expression" dxfId="79" priority="3">
      <formula>AND(ISNUMBER(L27),L27&gt;0)</formula>
    </cfRule>
  </conditionalFormatting>
  <conditionalFormatting sqref="I3 N3 R3 B6 F6 N6 R6 B10:C13 P10:Q13 N37:N38 S38">
    <cfRule type="containsBlanks" dxfId="78" priority="11">
      <formula>LEN(TRIM(B3))=0</formula>
    </cfRule>
  </conditionalFormatting>
  <conditionalFormatting sqref="L17:L21 N17:N21 L27:L31 N27:N31">
    <cfRule type="cellIs" dxfId="77" priority="8" operator="greaterThan">
      <formula>0</formula>
    </cfRule>
  </conditionalFormatting>
  <conditionalFormatting sqref="O17:O21">
    <cfRule type="expression" dxfId="76" priority="5">
      <formula>AND(ISNUMBER(N17),N17&gt;0)</formula>
    </cfRule>
  </conditionalFormatting>
  <conditionalFormatting sqref="O27:O31">
    <cfRule type="expression" dxfId="75" priority="4">
      <formula>AND(ISNUMBER(N27),N27&gt;0)</formula>
    </cfRule>
  </conditionalFormatting>
  <dataValidations count="6">
    <dataValidation type="list" allowBlank="1" showInputMessage="1" showErrorMessage="1" sqref="R6 F6" xr:uid="{00000000-0002-0000-0400-000001000000}">
      <formula1>$BN$28:$BN$34</formula1>
    </dataValidation>
    <dataValidation type="list" allowBlank="1" showInputMessage="1" showErrorMessage="1" sqref="I3" xr:uid="{00000000-0002-0000-0400-000002000000}">
      <formula1>$BN$21:$BN$22</formula1>
    </dataValidation>
    <dataValidation type="list" allowBlank="1" showInputMessage="1" showErrorMessage="1" sqref="N6:P6 B6:D6" xr:uid="{00000000-0002-0000-0400-000003000000}">
      <formula1>Club</formula1>
    </dataValidation>
    <dataValidation type="list" allowBlank="1" showInputMessage="1" showErrorMessage="1" sqref="N38:R38" xr:uid="{00000000-0002-0000-0400-000004000000}">
      <formula1>$BJ$39:$BJ$42</formula1>
    </dataValidation>
    <dataValidation type="list" allowBlank="1" showInputMessage="1" sqref="S38:W38" xr:uid="{00000000-0002-0000-0400-000005000000}">
      <formula1>$BJ$39:$BJ$46</formula1>
    </dataValidation>
    <dataValidation type="list" allowBlank="1" showInputMessage="1" showErrorMessage="1" sqref="N37:R37" xr:uid="{00000000-0002-0000-0400-000006000000}">
      <formula1>$BJ$43:$BJ$46</formula1>
    </dataValidation>
  </dataValidations>
  <hyperlinks>
    <hyperlink ref="Q42" r:id="rId2" xr:uid="{00000000-0004-0000-0400-000000000000}"/>
  </hyperlinks>
  <printOptions horizontalCentered="1" verticalCentered="1"/>
  <pageMargins left="0.31496062992125984" right="0.31496062992125984" top="0.15748031496062992" bottom="0.35433070866141736" header="0.11811023622047245" footer="0.31496062992125984"/>
  <pageSetup paperSize="9" scale="65" fitToHeight="2" orientation="landscape" r:id="rId3"/>
  <headerFooter>
    <oddHeader>&amp;C&amp;"Calibri"&amp;10&amp;KFF8C00C2 - Confidential&amp;1#</oddHeader>
  </headerFooter>
  <rowBreaks count="1" manualBreakCount="1">
    <brk id="43" max="26" man="1"/>
  </rowBreaks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400-000000000000}">
          <x14:formula1>
            <xm:f>'Jour Match'!$B$26:$B$34</xm:f>
          </x14:formula1>
          <xm:sqref>R3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9">
    <tabColor rgb="FF00B0F0"/>
  </sheetPr>
  <dimension ref="A1:AI69"/>
  <sheetViews>
    <sheetView zoomScale="55" zoomScaleNormal="55" workbookViewId="0">
      <selection activeCell="V7" sqref="V7"/>
    </sheetView>
  </sheetViews>
  <sheetFormatPr baseColWidth="10" defaultRowHeight="16" x14ac:dyDescent="0.2"/>
  <cols>
    <col min="1" max="11" width="5.6640625" customWidth="1"/>
    <col min="12" max="12" width="1.6640625" customWidth="1"/>
    <col min="13" max="23" width="5.6640625" customWidth="1"/>
    <col min="24" max="24" width="1.6640625" customWidth="1"/>
    <col min="25" max="42" width="5.6640625" customWidth="1"/>
  </cols>
  <sheetData>
    <row r="1" spans="1:35" ht="21" customHeight="1" x14ac:dyDescent="0.25">
      <c r="A1" s="476" t="s">
        <v>1665</v>
      </c>
      <c r="B1" s="476"/>
      <c r="C1" s="476"/>
      <c r="D1" s="476"/>
      <c r="E1" s="476"/>
      <c r="F1" s="476"/>
      <c r="G1" s="476"/>
      <c r="H1" s="476"/>
      <c r="I1" s="476"/>
      <c r="J1" s="476"/>
      <c r="K1" s="476"/>
      <c r="L1" s="151"/>
      <c r="M1" s="476" t="str">
        <f>A1</f>
        <v>UFOLEP 77 – Championnat JEUNES - 2025 - 2026</v>
      </c>
      <c r="N1" s="476"/>
      <c r="O1" s="476"/>
      <c r="P1" s="476"/>
      <c r="Q1" s="476"/>
      <c r="R1" s="476"/>
      <c r="S1" s="476"/>
      <c r="T1" s="476"/>
      <c r="U1" s="476"/>
      <c r="V1" s="476"/>
      <c r="W1" s="476"/>
      <c r="X1" s="151"/>
      <c r="Y1" s="476" t="str">
        <f>A1</f>
        <v>UFOLEP 77 – Championnat JEUNES - 2025 - 2026</v>
      </c>
      <c r="Z1" s="476"/>
      <c r="AA1" s="476"/>
      <c r="AB1" s="476"/>
      <c r="AC1" s="476"/>
      <c r="AD1" s="476"/>
      <c r="AE1" s="476"/>
      <c r="AF1" s="476"/>
      <c r="AG1" s="476"/>
      <c r="AH1" s="476"/>
      <c r="AI1" s="476"/>
    </row>
    <row r="2" spans="1:35" ht="19" customHeight="1" x14ac:dyDescent="0.2">
      <c r="A2" s="129"/>
      <c r="B2" s="470">
        <f>+'JEUNES (4)'!I3</f>
        <v>0</v>
      </c>
      <c r="C2" s="470"/>
      <c r="D2" s="470"/>
      <c r="E2" s="470"/>
      <c r="F2" s="470"/>
      <c r="G2" s="130" t="s">
        <v>28</v>
      </c>
      <c r="H2" s="165">
        <f>+'JEUNES (4)'!$N$3</f>
        <v>0</v>
      </c>
      <c r="I2" s="131" t="s">
        <v>427</v>
      </c>
      <c r="J2" s="131"/>
      <c r="K2" s="132">
        <f>+'JEUNES (4)'!$R$3</f>
        <v>0</v>
      </c>
      <c r="L2" s="152"/>
      <c r="M2" s="129"/>
      <c r="N2" s="470">
        <f>+B2</f>
        <v>0</v>
      </c>
      <c r="O2" s="470"/>
      <c r="P2" s="470"/>
      <c r="Q2" s="470"/>
      <c r="R2" s="470"/>
      <c r="S2" s="130" t="s">
        <v>28</v>
      </c>
      <c r="T2" s="164">
        <f>+'JEUNES (4)'!$N$3</f>
        <v>0</v>
      </c>
      <c r="U2" s="131" t="s">
        <v>427</v>
      </c>
      <c r="V2" s="131"/>
      <c r="W2" s="132">
        <f>+'JEUNES (4)'!$R$3</f>
        <v>0</v>
      </c>
      <c r="X2" s="152"/>
      <c r="Y2" s="129"/>
      <c r="Z2" s="470">
        <f>+B2</f>
        <v>0</v>
      </c>
      <c r="AA2" s="470"/>
      <c r="AB2" s="470"/>
      <c r="AC2" s="470">
        <f>+'JEUNES (4)'!$I$3</f>
        <v>0</v>
      </c>
      <c r="AD2" s="470"/>
      <c r="AE2" s="130" t="s">
        <v>28</v>
      </c>
      <c r="AF2" s="164">
        <f>+'JEUNES (4)'!$N$3</f>
        <v>0</v>
      </c>
      <c r="AG2" s="131" t="s">
        <v>427</v>
      </c>
      <c r="AH2" s="131"/>
      <c r="AI2" s="132">
        <f>+'JEUNES (4)'!$R$3</f>
        <v>0</v>
      </c>
    </row>
    <row r="3" spans="1:35" ht="19" customHeight="1" x14ac:dyDescent="0.2">
      <c r="A3" s="475" t="str">
        <f>+'JEUNES (4)'!$B$6&amp;" "&amp;'JEUNES (4)'!$F$6</f>
        <v xml:space="preserve"> </v>
      </c>
      <c r="B3" s="475"/>
      <c r="C3" s="475"/>
      <c r="D3" s="475"/>
      <c r="E3" s="475"/>
      <c r="F3" s="475"/>
      <c r="G3" s="153" t="s">
        <v>426</v>
      </c>
      <c r="H3" s="468" t="str">
        <f>+'JEUNES (4)'!$N$6&amp;" "&amp;'JEUNES (4)'!$R$6</f>
        <v xml:space="preserve"> </v>
      </c>
      <c r="I3" s="468"/>
      <c r="J3" s="468"/>
      <c r="K3" s="468"/>
      <c r="L3" s="154"/>
      <c r="M3" s="475" t="str">
        <f>+'JEUNES (4)'!$B$6&amp;" "&amp;'JEUNES (4)'!$F$6</f>
        <v xml:space="preserve"> </v>
      </c>
      <c r="N3" s="475"/>
      <c r="O3" s="475"/>
      <c r="P3" s="475"/>
      <c r="Q3" s="475"/>
      <c r="R3" s="475"/>
      <c r="S3" s="147" t="s">
        <v>426</v>
      </c>
      <c r="T3" s="468" t="str">
        <f>+'JEUNES (4)'!$N$6&amp;" "&amp;'JEUNES (4)'!$R$6</f>
        <v xml:space="preserve"> </v>
      </c>
      <c r="U3" s="468"/>
      <c r="V3" s="468"/>
      <c r="W3" s="468"/>
      <c r="X3" s="154"/>
      <c r="Y3" s="475" t="str">
        <f>+'JEUNES (4)'!$B$6&amp;" "&amp;'JEUNES (4)'!$F$6</f>
        <v xml:space="preserve"> </v>
      </c>
      <c r="Z3" s="475"/>
      <c r="AA3" s="475"/>
      <c r="AB3" s="475"/>
      <c r="AC3" s="475"/>
      <c r="AD3" s="475"/>
      <c r="AE3" s="153" t="s">
        <v>426</v>
      </c>
      <c r="AF3" s="468" t="str">
        <f>+'JEUNES (4)'!$N$6&amp;" "&amp;'JEUNES (4)'!$R$6</f>
        <v xml:space="preserve"> </v>
      </c>
      <c r="AG3" s="468"/>
      <c r="AH3" s="468"/>
      <c r="AI3" s="468"/>
    </row>
    <row r="4" spans="1:35" ht="19" customHeight="1" thickBot="1" x14ac:dyDescent="0.25">
      <c r="A4" s="134" t="s">
        <v>29</v>
      </c>
      <c r="B4" s="512" t="str">
        <f>IF(ISBLANK('JEUNES (4)'!D3),'JEUNES (4)'!D2,'JEUNES (4)'!D3)</f>
        <v/>
      </c>
      <c r="C4" s="512" t="e">
        <f>IF(ISBLANK(' EQUIPE A 4'!#REF!),' EQUIPE A 4'!#REF!,#REF!)</f>
        <v>#REF!</v>
      </c>
      <c r="D4" s="512" t="e">
        <f>IF(ISBLANK(' EQUIPE A 4'!#REF!),' EQUIPE A 4'!#REF!,#REF!)</f>
        <v>#REF!</v>
      </c>
      <c r="E4" s="512" t="e">
        <f>IF(ISBLANK(' EQUIPE A 4'!#REF!),' EQUIPE A 4'!#REF!,#REF!)</f>
        <v>#REF!</v>
      </c>
      <c r="F4" s="512" t="e">
        <f>IF(ISBLANK(' EQUIPE A 4'!#REF!),' EQUIPE A 4'!#REF!,#REF!)</f>
        <v>#REF!</v>
      </c>
      <c r="G4" s="135"/>
      <c r="H4" s="136" t="s">
        <v>407</v>
      </c>
      <c r="I4" s="135"/>
      <c r="J4" s="135"/>
      <c r="K4" s="137"/>
      <c r="L4" s="155"/>
      <c r="M4" s="134" t="s">
        <v>29</v>
      </c>
      <c r="N4" s="512" t="str">
        <f>+B4</f>
        <v/>
      </c>
      <c r="O4" s="512"/>
      <c r="P4" s="512"/>
      <c r="Q4" s="512"/>
      <c r="R4" s="512"/>
      <c r="S4" s="135"/>
      <c r="T4" s="136" t="s">
        <v>407</v>
      </c>
      <c r="U4" s="135"/>
      <c r="V4" s="135"/>
      <c r="W4" s="137"/>
      <c r="X4" s="155"/>
      <c r="Y4" s="134" t="s">
        <v>29</v>
      </c>
      <c r="Z4" s="512" t="str">
        <f>+B4</f>
        <v/>
      </c>
      <c r="AA4" s="512"/>
      <c r="AB4" s="512"/>
      <c r="AC4" s="512">
        <v>43382</v>
      </c>
      <c r="AD4" s="512"/>
      <c r="AE4" s="135"/>
      <c r="AF4" s="136" t="s">
        <v>407</v>
      </c>
      <c r="AG4" s="135"/>
      <c r="AH4" s="135"/>
      <c r="AI4" s="137"/>
    </row>
    <row r="5" spans="1:35" ht="19" customHeight="1" thickTop="1" x14ac:dyDescent="0.2">
      <c r="A5" s="129"/>
      <c r="B5" s="138"/>
      <c r="C5" s="138"/>
      <c r="D5" s="138"/>
      <c r="E5" s="138"/>
      <c r="F5" s="131"/>
      <c r="G5" s="131" t="s">
        <v>1021</v>
      </c>
      <c r="H5" s="131"/>
      <c r="I5" s="131"/>
      <c r="J5" s="131"/>
      <c r="K5" s="139"/>
      <c r="L5" s="155"/>
      <c r="M5" s="129"/>
      <c r="N5" s="138"/>
      <c r="O5" s="138"/>
      <c r="P5" s="138"/>
      <c r="Q5" s="138"/>
      <c r="R5" s="131"/>
      <c r="S5" s="131" t="s">
        <v>1021</v>
      </c>
      <c r="T5" s="131"/>
      <c r="U5" s="131"/>
      <c r="V5" s="131"/>
      <c r="W5" s="139"/>
      <c r="X5" s="155"/>
      <c r="Y5" s="129"/>
      <c r="Z5" s="131"/>
      <c r="AA5" s="131"/>
      <c r="AB5" s="131"/>
      <c r="AC5" s="138"/>
      <c r="AD5" s="131"/>
      <c r="AE5" s="131" t="s">
        <v>1021</v>
      </c>
      <c r="AF5" s="131"/>
      <c r="AG5" s="131"/>
      <c r="AH5" s="131"/>
      <c r="AI5" s="139"/>
    </row>
    <row r="6" spans="1:35" ht="19" customHeight="1" x14ac:dyDescent="0.25">
      <c r="A6" s="156" t="s">
        <v>405</v>
      </c>
      <c r="B6" s="474" t="s">
        <v>428</v>
      </c>
      <c r="C6" s="474"/>
      <c r="D6" s="474"/>
      <c r="E6" s="474"/>
      <c r="F6" s="474"/>
      <c r="G6" s="157" t="s">
        <v>12</v>
      </c>
      <c r="H6" s="157" t="s">
        <v>13</v>
      </c>
      <c r="I6" s="157" t="s">
        <v>14</v>
      </c>
      <c r="J6" s="157" t="s">
        <v>15</v>
      </c>
      <c r="K6" s="157" t="s">
        <v>16</v>
      </c>
      <c r="L6" s="158"/>
      <c r="M6" s="156" t="s">
        <v>405</v>
      </c>
      <c r="N6" s="474" t="s">
        <v>429</v>
      </c>
      <c r="O6" s="474"/>
      <c r="P6" s="474"/>
      <c r="Q6" s="474"/>
      <c r="R6" s="474"/>
      <c r="S6" s="157" t="s">
        <v>12</v>
      </c>
      <c r="T6" s="157" t="s">
        <v>13</v>
      </c>
      <c r="U6" s="157" t="s">
        <v>14</v>
      </c>
      <c r="V6" s="157" t="s">
        <v>15</v>
      </c>
      <c r="W6" s="157" t="s">
        <v>16</v>
      </c>
      <c r="X6" s="158"/>
      <c r="Y6" s="156" t="s">
        <v>405</v>
      </c>
      <c r="Z6" s="474" t="s">
        <v>430</v>
      </c>
      <c r="AA6" s="474"/>
      <c r="AB6" s="474"/>
      <c r="AC6" s="474"/>
      <c r="AD6" s="474"/>
      <c r="AE6" s="157" t="s">
        <v>12</v>
      </c>
      <c r="AF6" s="157" t="s">
        <v>13</v>
      </c>
      <c r="AG6" s="157" t="s">
        <v>14</v>
      </c>
      <c r="AH6" s="157" t="s">
        <v>15</v>
      </c>
      <c r="AI6" s="157" t="s">
        <v>16</v>
      </c>
    </row>
    <row r="7" spans="1:35" ht="24" customHeight="1" x14ac:dyDescent="0.2">
      <c r="A7" s="159" t="str">
        <f>+'JEUNES (4)'!C10</f>
        <v xml:space="preserve"> </v>
      </c>
      <c r="B7" s="131"/>
      <c r="C7" s="131"/>
      <c r="D7" s="131"/>
      <c r="E7" s="131"/>
      <c r="F7" s="131"/>
      <c r="G7" s="141"/>
      <c r="H7" s="141"/>
      <c r="I7" s="141"/>
      <c r="J7" s="141"/>
      <c r="K7" s="141"/>
      <c r="L7" s="155"/>
      <c r="M7" s="159" t="str">
        <f>+'JEUNES (4)'!C11</f>
        <v xml:space="preserve"> </v>
      </c>
      <c r="N7" s="131"/>
      <c r="O7" s="131"/>
      <c r="P7" s="131"/>
      <c r="Q7" s="131"/>
      <c r="R7" s="131"/>
      <c r="S7" s="141"/>
      <c r="T7" s="141"/>
      <c r="U7" s="141"/>
      <c r="V7" s="141"/>
      <c r="W7" s="141"/>
      <c r="X7" s="155"/>
      <c r="Y7" s="159" t="str">
        <f>+'JEUNES (4)'!C11</f>
        <v xml:space="preserve"> </v>
      </c>
      <c r="Z7" s="131"/>
      <c r="AA7" s="131"/>
      <c r="AB7" s="131"/>
      <c r="AC7" s="131"/>
      <c r="AD7" s="131"/>
      <c r="AE7" s="141"/>
      <c r="AF7" s="141"/>
      <c r="AG7" s="141"/>
      <c r="AH7" s="141"/>
      <c r="AI7" s="141"/>
    </row>
    <row r="8" spans="1:35" ht="24" customHeight="1" x14ac:dyDescent="0.2">
      <c r="A8" s="162" t="str">
        <f>'JEUNES (4)'!I10</f>
        <v/>
      </c>
      <c r="B8" s="131"/>
      <c r="C8" s="131"/>
      <c r="D8" s="131"/>
      <c r="E8" s="131"/>
      <c r="F8" s="131"/>
      <c r="G8" s="143"/>
      <c r="H8" s="143"/>
      <c r="I8" s="143"/>
      <c r="J8" s="143"/>
      <c r="K8" s="143"/>
      <c r="L8" s="155"/>
      <c r="M8" s="163" t="str">
        <f>'JEUNES (4)'!I11</f>
        <v/>
      </c>
      <c r="N8" s="131"/>
      <c r="O8" s="131"/>
      <c r="P8" s="131"/>
      <c r="Q8" s="131"/>
      <c r="R8" s="131"/>
      <c r="S8" s="143"/>
      <c r="T8" s="143"/>
      <c r="U8" s="143"/>
      <c r="V8" s="143"/>
      <c r="W8" s="143"/>
      <c r="X8" s="155"/>
      <c r="Y8" s="163" t="str">
        <f>'JEUNES (4)'!I11</f>
        <v/>
      </c>
      <c r="Z8" s="131"/>
      <c r="AA8" s="131"/>
      <c r="AB8" s="131"/>
      <c r="AC8" s="131"/>
      <c r="AD8" s="131"/>
      <c r="AE8" s="143"/>
      <c r="AF8" s="143"/>
      <c r="AG8" s="143"/>
      <c r="AH8" s="143"/>
      <c r="AI8" s="143"/>
    </row>
    <row r="9" spans="1:35" ht="25.5" customHeight="1" x14ac:dyDescent="0.2">
      <c r="A9" s="142" t="s">
        <v>156</v>
      </c>
      <c r="B9" s="131"/>
      <c r="C9" s="131"/>
      <c r="D9" s="131"/>
      <c r="E9" s="131"/>
      <c r="F9" s="131"/>
      <c r="G9" s="131"/>
      <c r="H9" s="131"/>
      <c r="I9" s="131"/>
      <c r="J9" s="131"/>
      <c r="K9" s="140"/>
      <c r="L9" s="155"/>
      <c r="M9" s="142" t="s">
        <v>156</v>
      </c>
      <c r="N9" s="131"/>
      <c r="O9" s="131"/>
      <c r="P9" s="131"/>
      <c r="Q9" s="131"/>
      <c r="R9" s="131"/>
      <c r="S9" s="131"/>
      <c r="T9" s="131"/>
      <c r="U9" s="131"/>
      <c r="V9" s="131"/>
      <c r="W9" s="140"/>
      <c r="X9" s="155"/>
      <c r="Y9" s="142" t="s">
        <v>156</v>
      </c>
      <c r="Z9" s="130"/>
      <c r="AA9" s="130"/>
      <c r="AB9" s="130"/>
      <c r="AC9" s="131"/>
      <c r="AD9" s="131"/>
      <c r="AE9" s="131"/>
      <c r="AF9" s="131"/>
      <c r="AG9" s="131"/>
      <c r="AH9" s="131"/>
      <c r="AI9" s="140"/>
    </row>
    <row r="10" spans="1:35" ht="24" customHeight="1" x14ac:dyDescent="0.2">
      <c r="A10" s="159" t="str">
        <f>+'JEUNES (4)'!$Q$10</f>
        <v xml:space="preserve"> </v>
      </c>
      <c r="B10" s="131"/>
      <c r="C10" s="131"/>
      <c r="D10" s="131"/>
      <c r="E10" s="131"/>
      <c r="F10" s="131"/>
      <c r="G10" s="141"/>
      <c r="H10" s="141"/>
      <c r="I10" s="141"/>
      <c r="J10" s="141"/>
      <c r="K10" s="141"/>
      <c r="L10" s="155"/>
      <c r="M10" s="159" t="str">
        <f>+'JEUNES (4)'!$Q$11</f>
        <v xml:space="preserve"> </v>
      </c>
      <c r="N10" s="131"/>
      <c r="O10" s="131"/>
      <c r="P10" s="131"/>
      <c r="Q10" s="131"/>
      <c r="R10" s="131"/>
      <c r="S10" s="141"/>
      <c r="T10" s="141"/>
      <c r="U10" s="141"/>
      <c r="V10" s="141"/>
      <c r="W10" s="141"/>
      <c r="X10" s="155"/>
      <c r="Y10" s="159" t="str">
        <f>+'JEUNES (4)'!$Q$10</f>
        <v xml:space="preserve"> </v>
      </c>
      <c r="Z10" s="131"/>
      <c r="AA10" s="131"/>
      <c r="AB10" s="131"/>
      <c r="AC10" s="131"/>
      <c r="AD10" s="131"/>
      <c r="AE10" s="141"/>
      <c r="AF10" s="141"/>
      <c r="AG10" s="141"/>
      <c r="AH10" s="141"/>
      <c r="AI10" s="141"/>
    </row>
    <row r="11" spans="1:35" ht="24" customHeight="1" x14ac:dyDescent="0.2">
      <c r="A11" s="163" t="str">
        <f>'JEUNES (4)'!X10</f>
        <v/>
      </c>
      <c r="B11" s="131"/>
      <c r="C11" s="131"/>
      <c r="D11" s="131"/>
      <c r="E11" s="131"/>
      <c r="F11" s="131"/>
      <c r="G11" s="143"/>
      <c r="H11" s="143"/>
      <c r="I11" s="143"/>
      <c r="J11" s="143"/>
      <c r="K11" s="143"/>
      <c r="L11" s="155"/>
      <c r="M11" s="163" t="str">
        <f>'JEUNES (4)'!X11</f>
        <v/>
      </c>
      <c r="N11" s="131"/>
      <c r="O11" s="131"/>
      <c r="P11" s="131"/>
      <c r="Q11" s="131"/>
      <c r="R11" s="131"/>
      <c r="S11" s="143"/>
      <c r="T11" s="143"/>
      <c r="U11" s="143"/>
      <c r="V11" s="143"/>
      <c r="W11" s="143"/>
      <c r="X11" s="155"/>
      <c r="Y11" s="163" t="str">
        <f>'JEUNES (4)'!X10</f>
        <v/>
      </c>
      <c r="Z11" s="131"/>
      <c r="AA11" s="131"/>
      <c r="AB11" s="131"/>
      <c r="AC11" s="131"/>
      <c r="AD11" s="131"/>
      <c r="AE11" s="143"/>
      <c r="AF11" s="143"/>
      <c r="AG11" s="143"/>
      <c r="AH11" s="143"/>
      <c r="AI11" s="143"/>
    </row>
    <row r="12" spans="1:35" ht="18" customHeight="1" x14ac:dyDescent="0.2">
      <c r="A12" s="144" t="s">
        <v>406</v>
      </c>
      <c r="B12" s="131" t="s">
        <v>408</v>
      </c>
      <c r="C12" s="131" t="str">
        <f>'JEUNES (4)'!Q11</f>
        <v xml:space="preserve"> </v>
      </c>
      <c r="D12" s="131"/>
      <c r="E12" s="131"/>
      <c r="F12" s="131"/>
      <c r="G12" s="131"/>
      <c r="H12" s="131"/>
      <c r="I12" s="131"/>
      <c r="J12" s="131"/>
      <c r="K12" s="139"/>
      <c r="L12" s="155"/>
      <c r="M12" s="144" t="s">
        <v>406</v>
      </c>
      <c r="N12" s="131" t="s">
        <v>409</v>
      </c>
      <c r="O12" s="131" t="str">
        <f>'JEUNES (4)'!Q10</f>
        <v xml:space="preserve"> </v>
      </c>
      <c r="P12" s="131"/>
      <c r="Q12" s="131"/>
      <c r="R12" s="131"/>
      <c r="S12" s="131"/>
      <c r="T12" s="131"/>
      <c r="U12" s="131"/>
      <c r="V12" s="131"/>
      <c r="W12" s="139"/>
      <c r="X12" s="155"/>
      <c r="Y12" s="144" t="s">
        <v>406</v>
      </c>
      <c r="Z12" s="145" t="s">
        <v>410</v>
      </c>
      <c r="AA12" s="131" t="str">
        <f>'JEUNES (4)'!C10</f>
        <v xml:space="preserve"> </v>
      </c>
      <c r="AB12" s="145"/>
      <c r="AC12" s="131"/>
      <c r="AD12" s="131"/>
      <c r="AE12" s="131"/>
      <c r="AF12" s="131"/>
      <c r="AG12" s="131"/>
      <c r="AH12" s="131"/>
      <c r="AI12" s="139"/>
    </row>
    <row r="13" spans="1:35" ht="18" customHeight="1" x14ac:dyDescent="0.2">
      <c r="A13" s="146"/>
      <c r="B13" s="147"/>
      <c r="C13" s="147"/>
      <c r="D13" s="147"/>
      <c r="E13" s="147"/>
      <c r="F13" s="147"/>
      <c r="G13" s="147"/>
      <c r="H13" s="147"/>
      <c r="I13" s="147"/>
      <c r="J13" s="147"/>
      <c r="K13" s="148"/>
      <c r="L13" s="155"/>
      <c r="M13" s="146"/>
      <c r="N13" s="147"/>
      <c r="O13" s="147"/>
      <c r="P13" s="147"/>
      <c r="Q13" s="147"/>
      <c r="R13" s="147"/>
      <c r="S13" s="147"/>
      <c r="T13" s="147"/>
      <c r="U13" s="147"/>
      <c r="V13" s="147"/>
      <c r="W13" s="148"/>
      <c r="X13" s="155"/>
      <c r="Y13" s="146"/>
      <c r="Z13" s="147"/>
      <c r="AA13" s="147"/>
      <c r="AB13" s="147"/>
      <c r="AC13" s="147"/>
      <c r="AD13" s="147"/>
      <c r="AE13" s="147"/>
      <c r="AF13" s="147"/>
      <c r="AG13" s="147"/>
      <c r="AH13" s="147"/>
      <c r="AI13" s="148"/>
    </row>
    <row r="14" spans="1:35" ht="2" customHeight="1" x14ac:dyDescent="0.2">
      <c r="A14" s="155"/>
      <c r="B14" s="155"/>
      <c r="C14" s="155"/>
      <c r="D14" s="155"/>
      <c r="E14" s="155"/>
      <c r="F14" s="155"/>
      <c r="G14" s="155"/>
      <c r="H14" s="155"/>
      <c r="I14" s="155"/>
      <c r="J14" s="155"/>
      <c r="K14" s="155"/>
      <c r="L14" s="155"/>
      <c r="M14" s="155"/>
      <c r="N14" s="155"/>
      <c r="O14" s="155"/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</row>
    <row r="15" spans="1:35" ht="19" customHeight="1" x14ac:dyDescent="0.25">
      <c r="A15" s="476" t="str">
        <f>A1</f>
        <v>UFOLEP 77 – Championnat JEUNES - 2025 - 2026</v>
      </c>
      <c r="B15" s="476"/>
      <c r="C15" s="476"/>
      <c r="D15" s="476"/>
      <c r="E15" s="476"/>
      <c r="F15" s="476"/>
      <c r="G15" s="476"/>
      <c r="H15" s="476"/>
      <c r="I15" s="476"/>
      <c r="J15" s="476"/>
      <c r="K15" s="476"/>
      <c r="L15" s="151"/>
      <c r="M15" s="476" t="str">
        <f>A1</f>
        <v>UFOLEP 77 – Championnat JEUNES - 2025 - 2026</v>
      </c>
      <c r="N15" s="476"/>
      <c r="O15" s="476"/>
      <c r="P15" s="476"/>
      <c r="Q15" s="476"/>
      <c r="R15" s="476"/>
      <c r="S15" s="476"/>
      <c r="T15" s="476"/>
      <c r="U15" s="476"/>
      <c r="V15" s="476"/>
      <c r="W15" s="476"/>
      <c r="X15" s="151"/>
      <c r="Y15" s="476" t="str">
        <f>A1</f>
        <v>UFOLEP 77 – Championnat JEUNES - 2025 - 2026</v>
      </c>
      <c r="Z15" s="476"/>
      <c r="AA15" s="476"/>
      <c r="AB15" s="476"/>
      <c r="AC15" s="476"/>
      <c r="AD15" s="476"/>
      <c r="AE15" s="476"/>
      <c r="AF15" s="476"/>
      <c r="AG15" s="476"/>
      <c r="AH15" s="476"/>
      <c r="AI15" s="476"/>
    </row>
    <row r="16" spans="1:35" ht="19" customHeight="1" x14ac:dyDescent="0.2">
      <c r="A16" s="129"/>
      <c r="B16" s="470">
        <f>+B2</f>
        <v>0</v>
      </c>
      <c r="C16" s="470"/>
      <c r="D16" s="470"/>
      <c r="E16" s="470"/>
      <c r="F16" s="470"/>
      <c r="G16" s="130" t="s">
        <v>28</v>
      </c>
      <c r="H16" s="164">
        <f>+'JEUNES (4)'!$N$3</f>
        <v>0</v>
      </c>
      <c r="I16" s="131" t="s">
        <v>427</v>
      </c>
      <c r="J16" s="131"/>
      <c r="K16" s="132">
        <f>+'JEUNES (4)'!$R$3</f>
        <v>0</v>
      </c>
      <c r="L16" s="152"/>
      <c r="M16" s="129"/>
      <c r="N16" s="470">
        <f>+'JEUNES (4)'!$I$3</f>
        <v>0</v>
      </c>
      <c r="O16" s="470"/>
      <c r="P16" s="470"/>
      <c r="Q16" s="470"/>
      <c r="R16" s="470"/>
      <c r="S16" s="130" t="s">
        <v>28</v>
      </c>
      <c r="T16" s="164">
        <f>+'JEUNES (4)'!$N$3</f>
        <v>0</v>
      </c>
      <c r="U16" s="131" t="s">
        <v>427</v>
      </c>
      <c r="V16" s="131"/>
      <c r="W16" s="132">
        <f>+'JEUNES (4)'!$R$3</f>
        <v>0</v>
      </c>
      <c r="X16" s="152"/>
      <c r="Y16" s="129"/>
      <c r="Z16" s="470">
        <f>+B2</f>
        <v>0</v>
      </c>
      <c r="AA16" s="470"/>
      <c r="AB16" s="470"/>
      <c r="AC16" s="470"/>
      <c r="AD16" s="470"/>
      <c r="AE16" s="130" t="s">
        <v>28</v>
      </c>
      <c r="AF16" s="164">
        <f>+'JEUNES (4)'!$N$3</f>
        <v>0</v>
      </c>
      <c r="AG16" s="131" t="s">
        <v>427</v>
      </c>
      <c r="AH16" s="131"/>
      <c r="AI16" s="132">
        <f>+'JEUNES (4)'!$R$3</f>
        <v>0</v>
      </c>
    </row>
    <row r="17" spans="1:35" ht="19" customHeight="1" x14ac:dyDescent="0.2">
      <c r="A17" s="475" t="str">
        <f>+'JEUNES (4)'!$B$6&amp;" "&amp;'JEUNES (4)'!$F$6</f>
        <v xml:space="preserve"> </v>
      </c>
      <c r="B17" s="475"/>
      <c r="C17" s="475"/>
      <c r="D17" s="475"/>
      <c r="E17" s="475"/>
      <c r="F17" s="475"/>
      <c r="G17" s="153" t="s">
        <v>426</v>
      </c>
      <c r="H17" s="468" t="str">
        <f>+'JEUNES (4)'!$N$6&amp;" "&amp;'JEUNES (4)'!$R$6</f>
        <v xml:space="preserve"> </v>
      </c>
      <c r="I17" s="468"/>
      <c r="J17" s="468"/>
      <c r="K17" s="468"/>
      <c r="L17" s="160"/>
      <c r="M17" s="475" t="str">
        <f>+'JEUNES (4)'!$B$6&amp;" "&amp;'JEUNES (4)'!$F$6</f>
        <v xml:space="preserve"> </v>
      </c>
      <c r="N17" s="475"/>
      <c r="O17" s="475"/>
      <c r="P17" s="475"/>
      <c r="Q17" s="475"/>
      <c r="R17" s="475"/>
      <c r="S17" s="147" t="s">
        <v>426</v>
      </c>
      <c r="T17" s="468" t="str">
        <f>+'JEUNES (4)'!$N$6&amp;" "&amp;'JEUNES (4)'!$R$6</f>
        <v xml:space="preserve"> </v>
      </c>
      <c r="U17" s="468"/>
      <c r="V17" s="468"/>
      <c r="W17" s="468"/>
      <c r="X17" s="160"/>
      <c r="Y17" s="475" t="str">
        <f>+'JEUNES (4)'!$B$6&amp;" "&amp;'JEUNES (4)'!$F$6</f>
        <v xml:space="preserve"> </v>
      </c>
      <c r="Z17" s="475"/>
      <c r="AA17" s="475"/>
      <c r="AB17" s="475"/>
      <c r="AC17" s="475"/>
      <c r="AD17" s="475"/>
      <c r="AE17" s="153" t="s">
        <v>426</v>
      </c>
      <c r="AF17" s="468" t="str">
        <f>+'JEUNES (4)'!$N$6&amp;" "&amp;'JEUNES (4)'!$R$6</f>
        <v xml:space="preserve"> </v>
      </c>
      <c r="AG17" s="468"/>
      <c r="AH17" s="468"/>
      <c r="AI17" s="468"/>
    </row>
    <row r="18" spans="1:35" ht="19" customHeight="1" thickBot="1" x14ac:dyDescent="0.25">
      <c r="A18" s="134" t="s">
        <v>29</v>
      </c>
      <c r="B18" s="512" t="str">
        <f>+B4</f>
        <v/>
      </c>
      <c r="C18" s="512"/>
      <c r="D18" s="512"/>
      <c r="E18" s="512"/>
      <c r="F18" s="512"/>
      <c r="G18" s="135"/>
      <c r="H18" s="136" t="s">
        <v>407</v>
      </c>
      <c r="I18" s="135"/>
      <c r="J18" s="135"/>
      <c r="K18" s="137"/>
      <c r="L18" s="155"/>
      <c r="M18" s="134" t="s">
        <v>29</v>
      </c>
      <c r="N18" s="512" t="str">
        <f>+B4</f>
        <v/>
      </c>
      <c r="O18" s="512"/>
      <c r="P18" s="512"/>
      <c r="Q18" s="512"/>
      <c r="R18" s="512"/>
      <c r="S18" s="135"/>
      <c r="T18" s="136" t="s">
        <v>407</v>
      </c>
      <c r="U18" s="135"/>
      <c r="V18" s="135"/>
      <c r="W18" s="137"/>
      <c r="X18" s="155"/>
      <c r="Y18" s="134" t="s">
        <v>29</v>
      </c>
      <c r="Z18" s="512" t="str">
        <f>+B4</f>
        <v/>
      </c>
      <c r="AA18" s="512"/>
      <c r="AB18" s="512"/>
      <c r="AC18" s="512">
        <v>43382</v>
      </c>
      <c r="AD18" s="512"/>
      <c r="AE18" s="135"/>
      <c r="AF18" s="136" t="s">
        <v>407</v>
      </c>
      <c r="AG18" s="135"/>
      <c r="AH18" s="135"/>
      <c r="AI18" s="137"/>
    </row>
    <row r="19" spans="1:35" ht="19" customHeight="1" thickTop="1" x14ac:dyDescent="0.2">
      <c r="A19" s="129"/>
      <c r="B19" s="138"/>
      <c r="C19" s="138"/>
      <c r="D19" s="138"/>
      <c r="E19" s="138"/>
      <c r="F19" s="131"/>
      <c r="G19" s="131" t="s">
        <v>1021</v>
      </c>
      <c r="H19" s="131"/>
      <c r="I19" s="131"/>
      <c r="J19" s="131"/>
      <c r="K19" s="139"/>
      <c r="L19" s="155"/>
      <c r="M19" s="129"/>
      <c r="N19" s="138"/>
      <c r="O19" s="138"/>
      <c r="P19" s="138"/>
      <c r="Q19" s="138"/>
      <c r="R19" s="131"/>
      <c r="S19" s="131" t="s">
        <v>1021</v>
      </c>
      <c r="T19" s="131"/>
      <c r="U19" s="131"/>
      <c r="V19" s="131"/>
      <c r="W19" s="139"/>
      <c r="X19" s="155"/>
      <c r="Y19" s="129"/>
      <c r="Z19" s="131"/>
      <c r="AA19" s="131"/>
      <c r="AB19" s="131"/>
      <c r="AC19" s="138"/>
      <c r="AD19" s="131"/>
      <c r="AE19" s="131" t="s">
        <v>1021</v>
      </c>
      <c r="AF19" s="131"/>
      <c r="AG19" s="131"/>
      <c r="AH19" s="131"/>
      <c r="AI19" s="139"/>
    </row>
    <row r="20" spans="1:35" ht="19" customHeight="1" x14ac:dyDescent="0.25">
      <c r="A20" s="156" t="s">
        <v>405</v>
      </c>
      <c r="B20" s="474" t="s">
        <v>431</v>
      </c>
      <c r="C20" s="474"/>
      <c r="D20" s="474"/>
      <c r="E20" s="474"/>
      <c r="F20" s="474"/>
      <c r="G20" s="157" t="s">
        <v>12</v>
      </c>
      <c r="H20" s="157" t="s">
        <v>13</v>
      </c>
      <c r="I20" s="157" t="s">
        <v>14</v>
      </c>
      <c r="J20" s="157" t="s">
        <v>15</v>
      </c>
      <c r="K20" s="157" t="s">
        <v>16</v>
      </c>
      <c r="L20" s="158"/>
      <c r="M20" s="156" t="s">
        <v>405</v>
      </c>
      <c r="N20" s="474" t="s">
        <v>432</v>
      </c>
      <c r="O20" s="474"/>
      <c r="P20" s="474"/>
      <c r="Q20" s="474"/>
      <c r="R20" s="474"/>
      <c r="S20" s="157" t="s">
        <v>12</v>
      </c>
      <c r="T20" s="157" t="s">
        <v>13</v>
      </c>
      <c r="U20" s="157" t="s">
        <v>14</v>
      </c>
      <c r="V20" s="157" t="s">
        <v>15</v>
      </c>
      <c r="W20" s="157" t="s">
        <v>16</v>
      </c>
      <c r="X20" s="158"/>
      <c r="Y20" s="156" t="s">
        <v>405</v>
      </c>
      <c r="Z20" s="474" t="s">
        <v>433</v>
      </c>
      <c r="AA20" s="474"/>
      <c r="AB20" s="474"/>
      <c r="AC20" s="474"/>
      <c r="AD20" s="474"/>
      <c r="AE20" s="157" t="s">
        <v>12</v>
      </c>
      <c r="AF20" s="157" t="s">
        <v>13</v>
      </c>
      <c r="AG20" s="157" t="s">
        <v>14</v>
      </c>
      <c r="AH20" s="157" t="s">
        <v>15</v>
      </c>
      <c r="AI20" s="157" t="s">
        <v>16</v>
      </c>
    </row>
    <row r="21" spans="1:35" ht="24" customHeight="1" x14ac:dyDescent="0.2">
      <c r="A21" s="159" t="str">
        <f>+A7</f>
        <v xml:space="preserve"> </v>
      </c>
      <c r="B21" s="131"/>
      <c r="C21" s="131"/>
      <c r="D21" s="131"/>
      <c r="E21" s="131"/>
      <c r="F21" s="131"/>
      <c r="G21" s="141"/>
      <c r="H21" s="141"/>
      <c r="I21" s="141"/>
      <c r="J21" s="141"/>
      <c r="K21" s="141"/>
      <c r="L21" s="155"/>
      <c r="M21" s="159" t="str">
        <f>'JEUNES (4)'!C10</f>
        <v xml:space="preserve"> </v>
      </c>
      <c r="N21" s="131"/>
      <c r="O21" s="131"/>
      <c r="P21" s="131"/>
      <c r="Q21" s="131"/>
      <c r="R21" s="131"/>
      <c r="S21" s="141"/>
      <c r="T21" s="141"/>
      <c r="U21" s="141"/>
      <c r="V21" s="141"/>
      <c r="W21" s="141"/>
      <c r="X21" s="155"/>
      <c r="Y21" s="159" t="str">
        <f>+'JEUNES (4)'!C12</f>
        <v xml:space="preserve"> </v>
      </c>
      <c r="Z21" s="131"/>
      <c r="AA21" s="131"/>
      <c r="AB21" s="131"/>
      <c r="AC21" s="131"/>
      <c r="AD21" s="131"/>
      <c r="AE21" s="141"/>
      <c r="AF21" s="141"/>
      <c r="AG21" s="141"/>
      <c r="AH21" s="141"/>
      <c r="AI21" s="141"/>
    </row>
    <row r="22" spans="1:35" ht="24" customHeight="1" x14ac:dyDescent="0.2">
      <c r="A22" s="163" t="str">
        <f>'JEUNES (4)'!I10</f>
        <v/>
      </c>
      <c r="B22" s="131"/>
      <c r="C22" s="131"/>
      <c r="D22" s="131"/>
      <c r="E22" s="131"/>
      <c r="F22" s="131"/>
      <c r="G22" s="143"/>
      <c r="H22" s="143"/>
      <c r="I22" s="143"/>
      <c r="J22" s="143"/>
      <c r="K22" s="143"/>
      <c r="L22" s="155"/>
      <c r="M22" s="159" t="str">
        <f>'JEUNES (4)'!C11</f>
        <v xml:space="preserve"> </v>
      </c>
      <c r="N22" s="131"/>
      <c r="O22" s="131"/>
      <c r="P22" s="131"/>
      <c r="Q22" s="131"/>
      <c r="R22" s="131"/>
      <c r="S22" s="143"/>
      <c r="T22" s="143"/>
      <c r="U22" s="143"/>
      <c r="V22" s="143"/>
      <c r="W22" s="143"/>
      <c r="X22" s="155"/>
      <c r="Y22" s="163" t="str">
        <f>'JEUNES (4)'!I12</f>
        <v/>
      </c>
      <c r="Z22" s="131"/>
      <c r="AA22" s="131"/>
      <c r="AB22" s="131"/>
      <c r="AC22" s="131"/>
      <c r="AD22" s="131"/>
      <c r="AE22" s="143"/>
      <c r="AF22" s="143"/>
      <c r="AG22" s="143"/>
      <c r="AH22" s="143"/>
      <c r="AI22" s="143"/>
    </row>
    <row r="23" spans="1:35" x14ac:dyDescent="0.2">
      <c r="A23" s="142" t="s">
        <v>156</v>
      </c>
      <c r="B23" s="131"/>
      <c r="C23" s="131"/>
      <c r="D23" s="131"/>
      <c r="E23" s="131"/>
      <c r="F23" s="131"/>
      <c r="G23" s="131"/>
      <c r="H23" s="131"/>
      <c r="I23" s="131"/>
      <c r="J23" s="131"/>
      <c r="K23" s="140"/>
      <c r="L23" s="155"/>
      <c r="M23" s="142" t="s">
        <v>156</v>
      </c>
      <c r="N23" s="131"/>
      <c r="O23" s="131"/>
      <c r="P23" s="131"/>
      <c r="Q23" s="131"/>
      <c r="R23" s="131"/>
      <c r="S23" s="131"/>
      <c r="T23" s="131"/>
      <c r="U23" s="131"/>
      <c r="V23" s="131"/>
      <c r="W23" s="140"/>
      <c r="X23" s="155"/>
      <c r="Y23" s="142" t="s">
        <v>156</v>
      </c>
      <c r="Z23" s="130"/>
      <c r="AA23" s="130"/>
      <c r="AB23" s="130"/>
      <c r="AC23" s="131"/>
      <c r="AD23" s="131"/>
      <c r="AE23" s="131"/>
      <c r="AF23" s="131"/>
      <c r="AG23" s="131"/>
      <c r="AH23" s="131"/>
      <c r="AI23" s="140"/>
    </row>
    <row r="24" spans="1:35" ht="24" customHeight="1" x14ac:dyDescent="0.2">
      <c r="A24" s="159" t="str">
        <f>+M10</f>
        <v xml:space="preserve"> </v>
      </c>
      <c r="B24" s="131"/>
      <c r="C24" s="131"/>
      <c r="D24" s="131"/>
      <c r="E24" s="131"/>
      <c r="F24" s="131"/>
      <c r="G24" s="141"/>
      <c r="H24" s="141"/>
      <c r="I24" s="141"/>
      <c r="J24" s="141"/>
      <c r="K24" s="141"/>
      <c r="L24" s="155"/>
      <c r="M24" s="159" t="str">
        <f>'JEUNES (4)'!Q10</f>
        <v xml:space="preserve"> </v>
      </c>
      <c r="N24" s="131"/>
      <c r="O24" s="131"/>
      <c r="P24" s="131"/>
      <c r="Q24" s="131"/>
      <c r="R24" s="131"/>
      <c r="S24" s="141"/>
      <c r="T24" s="141"/>
      <c r="U24" s="141"/>
      <c r="V24" s="141"/>
      <c r="W24" s="141"/>
      <c r="X24" s="155"/>
      <c r="Y24" s="159" t="str">
        <f>+'JEUNES (4)'!Q12</f>
        <v xml:space="preserve"> </v>
      </c>
      <c r="Z24" s="131"/>
      <c r="AA24" s="131"/>
      <c r="AB24" s="131"/>
      <c r="AC24" s="131"/>
      <c r="AD24" s="131"/>
      <c r="AE24" s="141"/>
      <c r="AF24" s="141"/>
      <c r="AG24" s="141"/>
      <c r="AH24" s="141"/>
      <c r="AI24" s="141"/>
    </row>
    <row r="25" spans="1:35" ht="24" customHeight="1" x14ac:dyDescent="0.2">
      <c r="A25" s="163" t="str">
        <f>'JEUNES (4)'!X11</f>
        <v/>
      </c>
      <c r="B25" s="131"/>
      <c r="C25" s="131"/>
      <c r="D25" s="131"/>
      <c r="E25" s="131"/>
      <c r="F25" s="131"/>
      <c r="G25" s="143"/>
      <c r="H25" s="143"/>
      <c r="I25" s="143"/>
      <c r="J25" s="143"/>
      <c r="K25" s="143"/>
      <c r="L25" s="155"/>
      <c r="M25" s="159" t="str">
        <f>'JEUNES (4)'!Q11</f>
        <v xml:space="preserve"> </v>
      </c>
      <c r="N25" s="131"/>
      <c r="O25" s="131"/>
      <c r="P25" s="131"/>
      <c r="Q25" s="131"/>
      <c r="R25" s="131"/>
      <c r="S25" s="143"/>
      <c r="T25" s="143"/>
      <c r="U25" s="143"/>
      <c r="V25" s="143"/>
      <c r="W25" s="143"/>
      <c r="X25" s="155"/>
      <c r="Y25" s="163" t="str">
        <f>'JEUNES (4)'!X12</f>
        <v/>
      </c>
      <c r="Z25" s="131"/>
      <c r="AA25" s="131"/>
      <c r="AB25" s="131"/>
      <c r="AC25" s="131"/>
      <c r="AD25" s="131"/>
      <c r="AE25" s="143"/>
      <c r="AF25" s="143"/>
      <c r="AG25" s="143"/>
      <c r="AH25" s="143"/>
      <c r="AI25" s="143"/>
    </row>
    <row r="26" spans="1:35" ht="18" customHeight="1" x14ac:dyDescent="0.2">
      <c r="A26" s="144" t="s">
        <v>406</v>
      </c>
      <c r="B26" s="131" t="s">
        <v>411</v>
      </c>
      <c r="C26" s="131" t="str">
        <f>'JEUNES (4)'!C11</f>
        <v xml:space="preserve"> </v>
      </c>
      <c r="D26" s="131"/>
      <c r="E26" s="131"/>
      <c r="F26" s="131"/>
      <c r="G26" s="131"/>
      <c r="H26" s="131"/>
      <c r="I26" s="131"/>
      <c r="J26" s="131"/>
      <c r="K26" s="139"/>
      <c r="L26" s="155"/>
      <c r="M26" s="144" t="s">
        <v>406</v>
      </c>
      <c r="N26" s="131"/>
      <c r="O26" s="131"/>
      <c r="P26" s="131"/>
      <c r="Q26" s="131"/>
      <c r="R26" s="131"/>
      <c r="S26" s="131"/>
      <c r="T26" s="131"/>
      <c r="U26" s="131"/>
      <c r="V26" s="131"/>
      <c r="W26" s="139"/>
      <c r="X26" s="155"/>
      <c r="Y26" s="144" t="s">
        <v>406</v>
      </c>
      <c r="Z26" s="130" t="s">
        <v>412</v>
      </c>
      <c r="AA26" s="145" t="str">
        <f>'JEUNES (4)'!Q13</f>
        <v xml:space="preserve"> </v>
      </c>
      <c r="AB26" s="145"/>
      <c r="AC26" s="131"/>
      <c r="AD26" s="131"/>
      <c r="AE26" s="131"/>
      <c r="AF26" s="131"/>
      <c r="AG26" s="131"/>
      <c r="AH26" s="131"/>
      <c r="AI26" s="139"/>
    </row>
    <row r="27" spans="1:35" ht="18" customHeight="1" x14ac:dyDescent="0.2">
      <c r="A27" s="146"/>
      <c r="B27" s="147"/>
      <c r="C27" s="147"/>
      <c r="D27" s="147"/>
      <c r="E27" s="147"/>
      <c r="F27" s="147"/>
      <c r="G27" s="147"/>
      <c r="H27" s="147"/>
      <c r="I27" s="147"/>
      <c r="J27" s="147"/>
      <c r="K27" s="148"/>
      <c r="L27" s="155"/>
      <c r="M27" s="146"/>
      <c r="N27" s="147"/>
      <c r="O27" s="147"/>
      <c r="P27" s="147"/>
      <c r="Q27" s="147"/>
      <c r="R27" s="147"/>
      <c r="S27" s="147"/>
      <c r="T27" s="147"/>
      <c r="U27" s="147"/>
      <c r="V27" s="147"/>
      <c r="W27" s="148"/>
      <c r="X27" s="155"/>
      <c r="Y27" s="146"/>
      <c r="Z27" s="147"/>
      <c r="AA27" s="147"/>
      <c r="AB27" s="147"/>
      <c r="AC27" s="147"/>
      <c r="AD27" s="147"/>
      <c r="AE27" s="147"/>
      <c r="AF27" s="147"/>
      <c r="AG27" s="147"/>
      <c r="AH27" s="147"/>
      <c r="AI27" s="148"/>
    </row>
    <row r="28" spans="1:35" ht="2" customHeight="1" x14ac:dyDescent="0.2">
      <c r="A28" s="155"/>
      <c r="B28" s="155"/>
      <c r="C28" s="155"/>
      <c r="D28" s="155"/>
      <c r="E28" s="155"/>
      <c r="F28" s="155"/>
      <c r="G28" s="155"/>
      <c r="H28" s="155"/>
      <c r="I28" s="155"/>
      <c r="J28" s="155"/>
      <c r="K28" s="155"/>
      <c r="L28" s="155"/>
      <c r="M28" s="155"/>
      <c r="N28" s="155"/>
      <c r="O28" s="155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5"/>
      <c r="AG28" s="155"/>
      <c r="AH28" s="155"/>
      <c r="AI28" s="155"/>
    </row>
    <row r="29" spans="1:35" ht="19" customHeight="1" x14ac:dyDescent="0.25">
      <c r="A29" s="476" t="str">
        <f>A1</f>
        <v>UFOLEP 77 – Championnat JEUNES - 2025 - 2026</v>
      </c>
      <c r="B29" s="476"/>
      <c r="C29" s="476"/>
      <c r="D29" s="476"/>
      <c r="E29" s="476"/>
      <c r="F29" s="476"/>
      <c r="G29" s="476"/>
      <c r="H29" s="476"/>
      <c r="I29" s="476"/>
      <c r="J29" s="476"/>
      <c r="K29" s="476"/>
      <c r="L29" s="151"/>
      <c r="M29" s="476" t="str">
        <f>A1</f>
        <v>UFOLEP 77 – Championnat JEUNES - 2025 - 2026</v>
      </c>
      <c r="N29" s="476"/>
      <c r="O29" s="476"/>
      <c r="P29" s="476"/>
      <c r="Q29" s="476"/>
      <c r="R29" s="476"/>
      <c r="S29" s="476"/>
      <c r="T29" s="476"/>
      <c r="U29" s="476"/>
      <c r="V29" s="476"/>
      <c r="W29" s="476"/>
      <c r="X29" s="151"/>
      <c r="Y29" s="476" t="str">
        <f>A1</f>
        <v>UFOLEP 77 – Championnat JEUNES - 2025 - 2026</v>
      </c>
      <c r="Z29" s="476"/>
      <c r="AA29" s="476"/>
      <c r="AB29" s="476"/>
      <c r="AC29" s="476"/>
      <c r="AD29" s="476"/>
      <c r="AE29" s="476"/>
      <c r="AF29" s="476"/>
      <c r="AG29" s="476"/>
      <c r="AH29" s="476"/>
      <c r="AI29" s="476"/>
    </row>
    <row r="30" spans="1:35" ht="19" customHeight="1" x14ac:dyDescent="0.2">
      <c r="A30" s="129"/>
      <c r="B30" s="530">
        <f>+B2</f>
        <v>0</v>
      </c>
      <c r="C30" s="470"/>
      <c r="D30" s="470"/>
      <c r="E30" s="470"/>
      <c r="F30" s="470"/>
      <c r="G30" s="130" t="s">
        <v>28</v>
      </c>
      <c r="H30" s="164">
        <f>+'JEUNES (4)'!$N$3</f>
        <v>0</v>
      </c>
      <c r="I30" s="131" t="s">
        <v>427</v>
      </c>
      <c r="J30" s="131"/>
      <c r="K30" s="132">
        <f>+'JEUNES (4)'!$R$3</f>
        <v>0</v>
      </c>
      <c r="L30" s="152"/>
      <c r="M30" s="129"/>
      <c r="N30" s="470">
        <f>+B2</f>
        <v>0</v>
      </c>
      <c r="O30" s="470"/>
      <c r="P30" s="470"/>
      <c r="Q30" s="470"/>
      <c r="R30" s="470"/>
      <c r="S30" s="130" t="s">
        <v>28</v>
      </c>
      <c r="T30" s="164">
        <f>+'JEUNES (4)'!$N$3</f>
        <v>0</v>
      </c>
      <c r="U30" s="131" t="s">
        <v>427</v>
      </c>
      <c r="V30" s="131"/>
      <c r="W30" s="132">
        <f>+'JEUNES (4)'!$R$3</f>
        <v>0</v>
      </c>
      <c r="X30" s="152"/>
      <c r="Y30" s="129"/>
      <c r="Z30" s="470">
        <f>+B2</f>
        <v>0</v>
      </c>
      <c r="AA30" s="470"/>
      <c r="AB30" s="470"/>
      <c r="AC30" s="470"/>
      <c r="AD30" s="470"/>
      <c r="AE30" s="130" t="s">
        <v>28</v>
      </c>
      <c r="AF30" s="164">
        <f>+'JEUNES (4)'!$N$3</f>
        <v>0</v>
      </c>
      <c r="AG30" s="131" t="s">
        <v>427</v>
      </c>
      <c r="AH30" s="131"/>
      <c r="AI30" s="132">
        <f>+'JEUNES (4)'!$R$3</f>
        <v>0</v>
      </c>
    </row>
    <row r="31" spans="1:35" ht="19" customHeight="1" x14ac:dyDescent="0.2">
      <c r="A31" s="475" t="str">
        <f>+'JEUNES (4)'!$B$6&amp;" "&amp;'JEUNES (4)'!$F$6</f>
        <v xml:space="preserve"> </v>
      </c>
      <c r="B31" s="475"/>
      <c r="C31" s="475"/>
      <c r="D31" s="475"/>
      <c r="E31" s="475"/>
      <c r="F31" s="475"/>
      <c r="G31" s="153" t="s">
        <v>426</v>
      </c>
      <c r="H31" s="468" t="str">
        <f>+'JEUNES (4)'!$N$6&amp;" "&amp;'JEUNES (4)'!$R$6</f>
        <v xml:space="preserve"> </v>
      </c>
      <c r="I31" s="468"/>
      <c r="J31" s="468"/>
      <c r="K31" s="468"/>
      <c r="L31" s="160"/>
      <c r="M31" s="475" t="str">
        <f>+'JEUNES (4)'!$B$6&amp;" "&amp;'JEUNES (4)'!$F$6</f>
        <v xml:space="preserve"> </v>
      </c>
      <c r="N31" s="475"/>
      <c r="O31" s="475"/>
      <c r="P31" s="475"/>
      <c r="Q31" s="475"/>
      <c r="R31" s="475"/>
      <c r="S31" s="147" t="s">
        <v>426</v>
      </c>
      <c r="T31" s="468" t="str">
        <f>+'JEUNES (4)'!$N$6&amp;" "&amp;'JEUNES (4)'!$R$6</f>
        <v xml:space="preserve"> </v>
      </c>
      <c r="U31" s="468"/>
      <c r="V31" s="468"/>
      <c r="W31" s="468"/>
      <c r="X31" s="160"/>
      <c r="Y31" s="475" t="str">
        <f>+'JEUNES (4)'!$B$6&amp;" "&amp;'JEUNES (4)'!$F$6</f>
        <v xml:space="preserve"> </v>
      </c>
      <c r="Z31" s="475"/>
      <c r="AA31" s="475"/>
      <c r="AB31" s="475"/>
      <c r="AC31" s="475"/>
      <c r="AD31" s="475"/>
      <c r="AE31" s="153" t="s">
        <v>426</v>
      </c>
      <c r="AF31" s="468" t="str">
        <f>+'JEUNES (4)'!$N$6&amp;" "&amp;'JEUNES (4)'!$R$6</f>
        <v xml:space="preserve"> </v>
      </c>
      <c r="AG31" s="468"/>
      <c r="AH31" s="468"/>
      <c r="AI31" s="468"/>
    </row>
    <row r="32" spans="1:35" ht="19" customHeight="1" thickBot="1" x14ac:dyDescent="0.25">
      <c r="A32" s="134" t="s">
        <v>29</v>
      </c>
      <c r="B32" s="512" t="str">
        <f>+B4</f>
        <v/>
      </c>
      <c r="C32" s="512"/>
      <c r="D32" s="512"/>
      <c r="E32" s="512"/>
      <c r="F32" s="512"/>
      <c r="G32" s="135"/>
      <c r="H32" s="136" t="s">
        <v>407</v>
      </c>
      <c r="I32" s="135"/>
      <c r="J32" s="135"/>
      <c r="K32" s="137"/>
      <c r="L32" s="155"/>
      <c r="M32" s="134" t="s">
        <v>29</v>
      </c>
      <c r="N32" s="512" t="str">
        <f>+B4</f>
        <v/>
      </c>
      <c r="O32" s="512"/>
      <c r="P32" s="512"/>
      <c r="Q32" s="512"/>
      <c r="R32" s="512"/>
      <c r="S32" s="135"/>
      <c r="T32" s="136" t="s">
        <v>407</v>
      </c>
      <c r="U32" s="135"/>
      <c r="V32" s="135"/>
      <c r="W32" s="137"/>
      <c r="X32" s="155"/>
      <c r="Y32" s="134" t="s">
        <v>29</v>
      </c>
      <c r="Z32" s="512" t="str">
        <f>+B4</f>
        <v/>
      </c>
      <c r="AA32" s="512"/>
      <c r="AB32" s="512"/>
      <c r="AC32" s="512">
        <v>43382</v>
      </c>
      <c r="AD32" s="512"/>
      <c r="AE32" s="135"/>
      <c r="AF32" s="136" t="s">
        <v>407</v>
      </c>
      <c r="AG32" s="135"/>
      <c r="AH32" s="135"/>
      <c r="AI32" s="137"/>
    </row>
    <row r="33" spans="1:35" ht="19" customHeight="1" thickTop="1" x14ac:dyDescent="0.2">
      <c r="A33" s="129"/>
      <c r="B33" s="138"/>
      <c r="C33" s="138"/>
      <c r="D33" s="138"/>
      <c r="E33" s="138"/>
      <c r="F33" s="131"/>
      <c r="G33" s="131" t="s">
        <v>1021</v>
      </c>
      <c r="H33" s="131"/>
      <c r="I33" s="131"/>
      <c r="J33" s="131"/>
      <c r="K33" s="139"/>
      <c r="L33" s="155"/>
      <c r="M33" s="129"/>
      <c r="N33" s="138"/>
      <c r="O33" s="138"/>
      <c r="P33" s="138"/>
      <c r="Q33" s="138"/>
      <c r="R33" s="131"/>
      <c r="S33" s="131" t="s">
        <v>1021</v>
      </c>
      <c r="T33" s="131"/>
      <c r="U33" s="131"/>
      <c r="V33" s="131"/>
      <c r="W33" s="139"/>
      <c r="X33" s="155"/>
      <c r="Y33" s="129"/>
      <c r="Z33" s="131"/>
      <c r="AA33" s="131"/>
      <c r="AB33" s="131"/>
      <c r="AC33" s="138"/>
      <c r="AD33" s="131"/>
      <c r="AE33" s="131" t="s">
        <v>1021</v>
      </c>
      <c r="AF33" s="131"/>
      <c r="AG33" s="131"/>
      <c r="AH33" s="131"/>
      <c r="AI33" s="139"/>
    </row>
    <row r="34" spans="1:35" ht="19" customHeight="1" x14ac:dyDescent="0.25">
      <c r="A34" s="156" t="s">
        <v>405</v>
      </c>
      <c r="B34" s="474" t="s">
        <v>434</v>
      </c>
      <c r="C34" s="474"/>
      <c r="D34" s="474"/>
      <c r="E34" s="474"/>
      <c r="F34" s="474"/>
      <c r="G34" s="157" t="s">
        <v>12</v>
      </c>
      <c r="H34" s="157" t="s">
        <v>13</v>
      </c>
      <c r="I34" s="157" t="s">
        <v>14</v>
      </c>
      <c r="J34" s="157" t="s">
        <v>15</v>
      </c>
      <c r="K34" s="157" t="s">
        <v>16</v>
      </c>
      <c r="L34" s="158"/>
      <c r="M34" s="156" t="s">
        <v>405</v>
      </c>
      <c r="N34" s="474" t="s">
        <v>435</v>
      </c>
      <c r="O34" s="474"/>
      <c r="P34" s="474"/>
      <c r="Q34" s="474"/>
      <c r="R34" s="474"/>
      <c r="S34" s="157" t="s">
        <v>12</v>
      </c>
      <c r="T34" s="157" t="s">
        <v>13</v>
      </c>
      <c r="U34" s="157" t="s">
        <v>14</v>
      </c>
      <c r="V34" s="157" t="s">
        <v>15</v>
      </c>
      <c r="W34" s="157" t="s">
        <v>16</v>
      </c>
      <c r="X34" s="158"/>
      <c r="Y34" s="156" t="s">
        <v>405</v>
      </c>
      <c r="Z34" s="474" t="s">
        <v>436</v>
      </c>
      <c r="AA34" s="474"/>
      <c r="AB34" s="474"/>
      <c r="AC34" s="474"/>
      <c r="AD34" s="474"/>
      <c r="AE34" s="157" t="s">
        <v>12</v>
      </c>
      <c r="AF34" s="157" t="s">
        <v>13</v>
      </c>
      <c r="AG34" s="157" t="s">
        <v>14</v>
      </c>
      <c r="AH34" s="157" t="s">
        <v>15</v>
      </c>
      <c r="AI34" s="157" t="s">
        <v>16</v>
      </c>
    </row>
    <row r="35" spans="1:35" ht="24" customHeight="1" x14ac:dyDescent="0.2">
      <c r="A35" s="159" t="str">
        <f>+'JEUNES (4)'!C13</f>
        <v xml:space="preserve"> </v>
      </c>
      <c r="B35" s="131"/>
      <c r="C35" s="131"/>
      <c r="D35" s="131"/>
      <c r="E35" s="131"/>
      <c r="F35" s="131"/>
      <c r="G35" s="141"/>
      <c r="H35" s="141"/>
      <c r="I35" s="141"/>
      <c r="J35" s="141"/>
      <c r="K35" s="141"/>
      <c r="L35" s="155"/>
      <c r="M35" s="159" t="str">
        <f>'JEUNES (4)'!C12</f>
        <v xml:space="preserve"> </v>
      </c>
      <c r="N35" s="131"/>
      <c r="O35" s="131"/>
      <c r="P35" s="131"/>
      <c r="Q35" s="131"/>
      <c r="R35" s="131"/>
      <c r="S35" s="141"/>
      <c r="T35" s="141"/>
      <c r="U35" s="141"/>
      <c r="V35" s="141"/>
      <c r="W35" s="141"/>
      <c r="X35" s="155"/>
      <c r="Y35" s="159" t="str">
        <f>+A35</f>
        <v xml:space="preserve"> </v>
      </c>
      <c r="Z35" s="131"/>
      <c r="AA35" s="131"/>
      <c r="AB35" s="131"/>
      <c r="AC35" s="131"/>
      <c r="AD35" s="131"/>
      <c r="AE35" s="141"/>
      <c r="AF35" s="141"/>
      <c r="AG35" s="141"/>
      <c r="AH35" s="141"/>
      <c r="AI35" s="141"/>
    </row>
    <row r="36" spans="1:35" ht="24" customHeight="1" x14ac:dyDescent="0.2">
      <c r="A36" s="163" t="str">
        <f>'JEUNES (4)'!I13</f>
        <v/>
      </c>
      <c r="B36" s="131"/>
      <c r="C36" s="131"/>
      <c r="D36" s="131"/>
      <c r="E36" s="131"/>
      <c r="F36" s="131"/>
      <c r="G36" s="143"/>
      <c r="H36" s="143"/>
      <c r="I36" s="143"/>
      <c r="J36" s="143"/>
      <c r="K36" s="143"/>
      <c r="L36" s="155"/>
      <c r="M36" s="159" t="str">
        <f>'JEUNES (4)'!C13</f>
        <v xml:space="preserve"> </v>
      </c>
      <c r="N36" s="131"/>
      <c r="O36" s="131"/>
      <c r="P36" s="131"/>
      <c r="Q36" s="131"/>
      <c r="R36" s="131"/>
      <c r="S36" s="143"/>
      <c r="T36" s="143"/>
      <c r="U36" s="143"/>
      <c r="V36" s="143"/>
      <c r="W36" s="143"/>
      <c r="X36" s="155"/>
      <c r="Y36" s="163" t="str">
        <f>'JEUNES (4)'!I13</f>
        <v/>
      </c>
      <c r="Z36" s="131"/>
      <c r="AA36" s="131"/>
      <c r="AB36" s="131"/>
      <c r="AC36" s="131"/>
      <c r="AD36" s="131"/>
      <c r="AE36" s="143"/>
      <c r="AF36" s="143"/>
      <c r="AG36" s="143"/>
      <c r="AH36" s="143"/>
      <c r="AI36" s="143"/>
    </row>
    <row r="37" spans="1:35" ht="26" customHeight="1" x14ac:dyDescent="0.2">
      <c r="A37" s="142" t="s">
        <v>156</v>
      </c>
      <c r="B37" s="131"/>
      <c r="C37" s="131"/>
      <c r="D37" s="131"/>
      <c r="E37" s="131"/>
      <c r="F37" s="131"/>
      <c r="G37" s="131"/>
      <c r="H37" s="131"/>
      <c r="I37" s="131"/>
      <c r="J37" s="131"/>
      <c r="K37" s="140"/>
      <c r="L37" s="155"/>
      <c r="M37" s="142" t="s">
        <v>156</v>
      </c>
      <c r="N37" s="131"/>
      <c r="O37" s="131"/>
      <c r="P37" s="131"/>
      <c r="Q37" s="131"/>
      <c r="R37" s="131"/>
      <c r="S37" s="131"/>
      <c r="T37" s="131"/>
      <c r="U37" s="131"/>
      <c r="V37" s="131"/>
      <c r="W37" s="140"/>
      <c r="X37" s="155"/>
      <c r="Y37" s="142" t="s">
        <v>156</v>
      </c>
      <c r="Z37" s="130"/>
      <c r="AA37" s="130"/>
      <c r="AB37" s="130"/>
      <c r="AC37" s="131"/>
      <c r="AD37" s="131"/>
      <c r="AE37" s="131"/>
      <c r="AF37" s="131"/>
      <c r="AG37" s="131"/>
      <c r="AH37" s="131"/>
      <c r="AI37" s="140"/>
    </row>
    <row r="38" spans="1:35" ht="24" customHeight="1" x14ac:dyDescent="0.2">
      <c r="A38" s="159" t="str">
        <f>+'JEUNES (4)'!Q13</f>
        <v xml:space="preserve"> </v>
      </c>
      <c r="B38" s="131"/>
      <c r="C38" s="131"/>
      <c r="D38" s="131"/>
      <c r="E38" s="131"/>
      <c r="F38" s="131"/>
      <c r="G38" s="141"/>
      <c r="H38" s="141"/>
      <c r="I38" s="141"/>
      <c r="J38" s="141"/>
      <c r="K38" s="141"/>
      <c r="L38" s="155"/>
      <c r="M38" s="159" t="str">
        <f>'JEUNES (4)'!Q12</f>
        <v xml:space="preserve"> </v>
      </c>
      <c r="N38" s="131"/>
      <c r="O38" s="131"/>
      <c r="P38" s="131"/>
      <c r="Q38" s="131"/>
      <c r="R38" s="131"/>
      <c r="S38" s="141"/>
      <c r="T38" s="141"/>
      <c r="U38" s="141"/>
      <c r="V38" s="141"/>
      <c r="W38" s="141"/>
      <c r="X38" s="155"/>
      <c r="Y38" s="159" t="str">
        <f>+Y24</f>
        <v xml:space="preserve"> </v>
      </c>
      <c r="Z38" s="150"/>
      <c r="AA38" s="131"/>
      <c r="AB38" s="131"/>
      <c r="AC38" s="131"/>
      <c r="AD38" s="131"/>
      <c r="AE38" s="141"/>
      <c r="AF38" s="141"/>
      <c r="AG38" s="141"/>
      <c r="AH38" s="141"/>
      <c r="AI38" s="141"/>
    </row>
    <row r="39" spans="1:35" ht="24" customHeight="1" x14ac:dyDescent="0.2">
      <c r="A39" s="163" t="str">
        <f>'JEUNES (4)'!X13</f>
        <v/>
      </c>
      <c r="B39" s="131"/>
      <c r="C39" s="131"/>
      <c r="D39" s="131"/>
      <c r="E39" s="131"/>
      <c r="F39" s="131"/>
      <c r="G39" s="143"/>
      <c r="H39" s="143"/>
      <c r="I39" s="143"/>
      <c r="J39" s="143"/>
      <c r="K39" s="143"/>
      <c r="L39" s="155"/>
      <c r="M39" s="159" t="str">
        <f>'JEUNES (4)'!Q13</f>
        <v xml:space="preserve"> </v>
      </c>
      <c r="N39" s="131"/>
      <c r="O39" s="131"/>
      <c r="P39" s="131"/>
      <c r="Q39" s="131"/>
      <c r="R39" s="131"/>
      <c r="S39" s="143"/>
      <c r="T39" s="143"/>
      <c r="U39" s="143"/>
      <c r="V39" s="143"/>
      <c r="W39" s="143"/>
      <c r="X39" s="155"/>
      <c r="Y39" s="163" t="str">
        <f>'JEUNES (4)'!X12</f>
        <v/>
      </c>
      <c r="Z39" s="131"/>
      <c r="AA39" s="131"/>
      <c r="AB39" s="131"/>
      <c r="AC39" s="131"/>
      <c r="AD39" s="131"/>
      <c r="AE39" s="143"/>
      <c r="AF39" s="143"/>
      <c r="AG39" s="143"/>
      <c r="AH39" s="143"/>
      <c r="AI39" s="143"/>
    </row>
    <row r="40" spans="1:35" ht="21" customHeight="1" x14ac:dyDescent="0.2">
      <c r="A40" s="144" t="s">
        <v>406</v>
      </c>
      <c r="B40" s="131" t="s">
        <v>413</v>
      </c>
      <c r="C40" s="131" t="str">
        <f>'JEUNES (4)'!Q12</f>
        <v xml:space="preserve"> </v>
      </c>
      <c r="D40" s="131"/>
      <c r="E40" s="131"/>
      <c r="F40" s="131"/>
      <c r="G40" s="131"/>
      <c r="H40" s="131"/>
      <c r="I40" s="131"/>
      <c r="J40" s="131"/>
      <c r="K40" s="139"/>
      <c r="L40" s="155"/>
      <c r="M40" s="144" t="s">
        <v>406</v>
      </c>
      <c r="N40" s="131"/>
      <c r="O40" s="131"/>
      <c r="P40" s="131"/>
      <c r="Q40" s="131"/>
      <c r="R40" s="131"/>
      <c r="S40" s="131"/>
      <c r="T40" s="131"/>
      <c r="U40" s="131"/>
      <c r="V40" s="131"/>
      <c r="W40" s="139"/>
      <c r="X40" s="155"/>
      <c r="Y40" s="144" t="s">
        <v>406</v>
      </c>
      <c r="Z40" s="145" t="s">
        <v>414</v>
      </c>
      <c r="AA40" s="145" t="str">
        <f>'JEUNES (4)'!C12</f>
        <v xml:space="preserve"> </v>
      </c>
      <c r="AB40" s="145"/>
      <c r="AC40" s="131"/>
      <c r="AD40" s="131"/>
      <c r="AE40" s="131"/>
      <c r="AF40" s="131"/>
      <c r="AG40" s="131"/>
      <c r="AH40" s="131"/>
      <c r="AI40" s="139"/>
    </row>
    <row r="41" spans="1:35" ht="21" customHeight="1" x14ac:dyDescent="0.2">
      <c r="A41" s="146"/>
      <c r="B41" s="147"/>
      <c r="C41" s="147"/>
      <c r="D41" s="147"/>
      <c r="E41" s="147"/>
      <c r="F41" s="147"/>
      <c r="G41" s="147"/>
      <c r="H41" s="147"/>
      <c r="I41" s="147"/>
      <c r="J41" s="147"/>
      <c r="K41" s="148"/>
      <c r="L41" s="155"/>
      <c r="M41" s="146"/>
      <c r="N41" s="147"/>
      <c r="O41" s="147"/>
      <c r="P41" s="147"/>
      <c r="Q41" s="147"/>
      <c r="R41" s="147"/>
      <c r="S41" s="147"/>
      <c r="T41" s="147"/>
      <c r="U41" s="147"/>
      <c r="V41" s="147"/>
      <c r="W41" s="148"/>
      <c r="X41" s="155"/>
      <c r="Y41" s="146"/>
      <c r="Z41" s="147"/>
      <c r="AA41" s="147"/>
      <c r="AB41" s="147"/>
      <c r="AC41" s="147"/>
      <c r="AD41" s="147"/>
      <c r="AE41" s="147"/>
      <c r="AF41" s="147"/>
      <c r="AG41" s="147"/>
      <c r="AH41" s="147"/>
      <c r="AI41" s="148"/>
    </row>
    <row r="42" spans="1:35" ht="2" customHeight="1" x14ac:dyDescent="0.2">
      <c r="A42" s="155"/>
      <c r="B42" s="155"/>
      <c r="C42" s="155"/>
      <c r="D42" s="155"/>
      <c r="E42" s="155"/>
      <c r="F42" s="155"/>
      <c r="G42" s="155"/>
      <c r="H42" s="155"/>
      <c r="I42" s="155"/>
      <c r="J42" s="155"/>
      <c r="K42" s="155"/>
      <c r="L42" s="155"/>
      <c r="M42" s="155"/>
      <c r="N42" s="155"/>
      <c r="O42" s="155"/>
      <c r="P42" s="155"/>
      <c r="Q42" s="155"/>
      <c r="R42" s="155"/>
      <c r="S42" s="155"/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  <c r="AF42" s="155"/>
      <c r="AG42" s="155"/>
      <c r="AH42" s="155"/>
      <c r="AI42" s="155"/>
    </row>
    <row r="43" spans="1:35" ht="19" customHeight="1" x14ac:dyDescent="0.25">
      <c r="A43" s="476" t="str">
        <f>A1</f>
        <v>UFOLEP 77 – Championnat JEUNES - 2025 - 2026</v>
      </c>
      <c r="B43" s="476"/>
      <c r="C43" s="476"/>
      <c r="D43" s="476"/>
      <c r="E43" s="476"/>
      <c r="F43" s="476"/>
      <c r="G43" s="476"/>
      <c r="H43" s="476"/>
      <c r="I43" s="476"/>
      <c r="J43" s="476"/>
      <c r="K43" s="476"/>
      <c r="L43" s="151"/>
      <c r="M43" s="469" t="s">
        <v>437</v>
      </c>
      <c r="N43" s="469"/>
      <c r="O43" s="469"/>
      <c r="P43" s="469"/>
      <c r="Q43" s="469"/>
      <c r="R43" s="469"/>
      <c r="S43" s="469"/>
      <c r="T43" s="469"/>
      <c r="U43" s="469"/>
      <c r="V43" s="469"/>
      <c r="W43" s="469"/>
      <c r="X43" s="151"/>
      <c r="Y43" s="469" t="s">
        <v>437</v>
      </c>
      <c r="Z43" s="469"/>
      <c r="AA43" s="469"/>
      <c r="AB43" s="469"/>
      <c r="AC43" s="469"/>
      <c r="AD43" s="469"/>
      <c r="AE43" s="469"/>
      <c r="AF43" s="469"/>
      <c r="AG43" s="469"/>
      <c r="AH43" s="469"/>
      <c r="AI43" s="469"/>
    </row>
    <row r="44" spans="1:35" ht="19" customHeight="1" x14ac:dyDescent="0.2">
      <c r="A44" s="129"/>
      <c r="B44" s="470">
        <f>+B2</f>
        <v>0</v>
      </c>
      <c r="C44" s="470"/>
      <c r="D44" s="470"/>
      <c r="E44" s="470"/>
      <c r="F44" s="470"/>
      <c r="G44" s="130" t="s">
        <v>28</v>
      </c>
      <c r="H44" s="164">
        <f>+'JEUNES (4)'!$N$3</f>
        <v>0</v>
      </c>
      <c r="I44" s="131" t="s">
        <v>427</v>
      </c>
      <c r="J44" s="131"/>
      <c r="K44" s="132">
        <f>+'JEUNES (4)'!$R$3</f>
        <v>0</v>
      </c>
      <c r="L44" s="152"/>
      <c r="M44" s="129"/>
      <c r="N44" s="470" t="s">
        <v>437</v>
      </c>
      <c r="O44" s="470"/>
      <c r="P44" s="470"/>
      <c r="Q44" s="470"/>
      <c r="R44" s="470"/>
      <c r="S44" s="130" t="s">
        <v>28</v>
      </c>
      <c r="T44" s="133" t="s">
        <v>437</v>
      </c>
      <c r="U44" s="131" t="s">
        <v>427</v>
      </c>
      <c r="V44" s="131"/>
      <c r="W44" s="132" t="s">
        <v>437</v>
      </c>
      <c r="X44" s="152"/>
      <c r="Y44" s="129"/>
      <c r="Z44" s="131"/>
      <c r="AA44" s="131"/>
      <c r="AB44" s="131"/>
      <c r="AC44" s="470"/>
      <c r="AD44" s="470"/>
      <c r="AE44" s="130" t="s">
        <v>28</v>
      </c>
      <c r="AF44" s="133"/>
      <c r="AG44" s="131" t="s">
        <v>427</v>
      </c>
      <c r="AH44" s="131"/>
      <c r="AI44" s="132"/>
    </row>
    <row r="45" spans="1:35" ht="19" customHeight="1" x14ac:dyDescent="0.2">
      <c r="A45" s="475" t="str">
        <f>+'JEUNES (4)'!$B$6&amp;" "&amp;'JEUNES (4)'!$F$6</f>
        <v xml:space="preserve"> </v>
      </c>
      <c r="B45" s="475"/>
      <c r="C45" s="475"/>
      <c r="D45" s="475"/>
      <c r="E45" s="475"/>
      <c r="F45" s="475"/>
      <c r="G45" s="153" t="s">
        <v>426</v>
      </c>
      <c r="H45" s="468" t="str">
        <f>+'JEUNES (4)'!$N$6&amp;" "&amp;'JEUNES (4)'!$R$6</f>
        <v xml:space="preserve"> </v>
      </c>
      <c r="I45" s="468"/>
      <c r="J45" s="468"/>
      <c r="K45" s="468"/>
      <c r="L45" s="160"/>
      <c r="M45" s="475" t="s">
        <v>437</v>
      </c>
      <c r="N45" s="475"/>
      <c r="O45" s="475"/>
      <c r="P45" s="475"/>
      <c r="Q45" s="475"/>
      <c r="R45" s="475"/>
      <c r="S45" s="147" t="s">
        <v>426</v>
      </c>
      <c r="T45" s="468" t="s">
        <v>437</v>
      </c>
      <c r="U45" s="468"/>
      <c r="V45" s="468"/>
      <c r="W45" s="468"/>
      <c r="X45" s="160"/>
      <c r="Y45" s="475" t="s">
        <v>437</v>
      </c>
      <c r="Z45" s="475"/>
      <c r="AA45" s="475"/>
      <c r="AB45" s="475"/>
      <c r="AC45" s="475"/>
      <c r="AD45" s="475"/>
      <c r="AE45" s="153" t="s">
        <v>426</v>
      </c>
      <c r="AF45" s="468" t="s">
        <v>437</v>
      </c>
      <c r="AG45" s="468"/>
      <c r="AH45" s="468"/>
      <c r="AI45" s="468"/>
    </row>
    <row r="46" spans="1:35" ht="19" customHeight="1" thickBot="1" x14ac:dyDescent="0.25">
      <c r="A46" s="134" t="s">
        <v>29</v>
      </c>
      <c r="B46" s="512" t="str">
        <f>+B4</f>
        <v/>
      </c>
      <c r="C46" s="512"/>
      <c r="D46" s="512"/>
      <c r="E46" s="512"/>
      <c r="F46" s="512"/>
      <c r="G46" s="135"/>
      <c r="H46" s="136" t="s">
        <v>407</v>
      </c>
      <c r="I46" s="135"/>
      <c r="J46" s="135"/>
      <c r="K46" s="137"/>
      <c r="L46" s="155"/>
      <c r="M46" s="134" t="s">
        <v>29</v>
      </c>
      <c r="N46" s="472" t="s">
        <v>437</v>
      </c>
      <c r="O46" s="472"/>
      <c r="P46" s="472"/>
      <c r="Q46" s="472"/>
      <c r="R46" s="472"/>
      <c r="S46" s="135"/>
      <c r="T46" s="136" t="s">
        <v>407</v>
      </c>
      <c r="U46" s="135"/>
      <c r="V46" s="135"/>
      <c r="W46" s="137"/>
      <c r="X46" s="155"/>
      <c r="Y46" s="134" t="s">
        <v>29</v>
      </c>
      <c r="Z46" s="472" t="s">
        <v>437</v>
      </c>
      <c r="AA46" s="472"/>
      <c r="AB46" s="472"/>
      <c r="AC46" s="472"/>
      <c r="AD46" s="472"/>
      <c r="AE46" s="135"/>
      <c r="AF46" s="136" t="s">
        <v>407</v>
      </c>
      <c r="AG46" s="135"/>
      <c r="AH46" s="135"/>
      <c r="AI46" s="137"/>
    </row>
    <row r="47" spans="1:35" ht="19" customHeight="1" thickTop="1" x14ac:dyDescent="0.2">
      <c r="A47" s="129"/>
      <c r="B47" s="138"/>
      <c r="C47" s="138"/>
      <c r="D47" s="138"/>
      <c r="E47" s="138"/>
      <c r="F47" s="131"/>
      <c r="G47" s="131" t="s">
        <v>1021</v>
      </c>
      <c r="H47" s="131"/>
      <c r="I47" s="131"/>
      <c r="J47" s="131"/>
      <c r="K47" s="139"/>
      <c r="L47" s="155"/>
      <c r="M47" s="129"/>
      <c r="N47" s="138"/>
      <c r="O47" s="138"/>
      <c r="P47" s="138"/>
      <c r="Q47" s="138"/>
      <c r="R47" s="131"/>
      <c r="S47" s="131" t="s">
        <v>1021</v>
      </c>
      <c r="T47" s="131"/>
      <c r="U47" s="131"/>
      <c r="V47" s="131"/>
      <c r="W47" s="139"/>
      <c r="X47" s="155"/>
      <c r="Y47" s="129"/>
      <c r="Z47" s="131"/>
      <c r="AA47" s="131"/>
      <c r="AB47" s="131"/>
      <c r="AC47" s="138"/>
      <c r="AD47" s="131"/>
      <c r="AE47" s="131" t="s">
        <v>1021</v>
      </c>
      <c r="AF47" s="131"/>
      <c r="AG47" s="131"/>
      <c r="AH47" s="131"/>
      <c r="AI47" s="139"/>
    </row>
    <row r="48" spans="1:35" ht="19" customHeight="1" x14ac:dyDescent="0.25">
      <c r="A48" s="156" t="s">
        <v>405</v>
      </c>
      <c r="B48" s="474" t="s">
        <v>438</v>
      </c>
      <c r="C48" s="474"/>
      <c r="D48" s="474"/>
      <c r="E48" s="474"/>
      <c r="F48" s="474"/>
      <c r="G48" s="157" t="s">
        <v>12</v>
      </c>
      <c r="H48" s="157" t="s">
        <v>13</v>
      </c>
      <c r="I48" s="157" t="s">
        <v>14</v>
      </c>
      <c r="J48" s="157" t="s">
        <v>15</v>
      </c>
      <c r="K48" s="157" t="s">
        <v>16</v>
      </c>
      <c r="L48" s="158"/>
      <c r="M48" s="156" t="s">
        <v>405</v>
      </c>
      <c r="N48" s="474"/>
      <c r="O48" s="474"/>
      <c r="P48" s="474"/>
      <c r="Q48" s="474"/>
      <c r="R48" s="474"/>
      <c r="S48" s="157" t="s">
        <v>12</v>
      </c>
      <c r="T48" s="157" t="s">
        <v>13</v>
      </c>
      <c r="U48" s="157" t="s">
        <v>14</v>
      </c>
      <c r="V48" s="157" t="s">
        <v>15</v>
      </c>
      <c r="W48" s="157" t="s">
        <v>16</v>
      </c>
      <c r="X48" s="158"/>
      <c r="Y48" s="156" t="s">
        <v>405</v>
      </c>
      <c r="Z48" s="527"/>
      <c r="AA48" s="528"/>
      <c r="AB48" s="528"/>
      <c r="AC48" s="528"/>
      <c r="AD48" s="529"/>
      <c r="AE48" s="157" t="s">
        <v>12</v>
      </c>
      <c r="AF48" s="157" t="s">
        <v>13</v>
      </c>
      <c r="AG48" s="157" t="s">
        <v>14</v>
      </c>
      <c r="AH48" s="157" t="s">
        <v>15</v>
      </c>
      <c r="AI48" s="157" t="s">
        <v>16</v>
      </c>
    </row>
    <row r="49" spans="1:35" x14ac:dyDescent="0.2">
      <c r="A49" s="159" t="str">
        <f>+Y21</f>
        <v xml:space="preserve"> </v>
      </c>
      <c r="B49" s="131"/>
      <c r="C49" s="131"/>
      <c r="D49" s="131"/>
      <c r="E49" s="131"/>
      <c r="F49" s="131"/>
      <c r="G49" s="141"/>
      <c r="H49" s="141"/>
      <c r="I49" s="141"/>
      <c r="J49" s="141"/>
      <c r="K49" s="141"/>
      <c r="L49" s="155"/>
      <c r="M49" s="129"/>
      <c r="N49" s="131"/>
      <c r="O49" s="131"/>
      <c r="P49" s="131"/>
      <c r="Q49" s="131"/>
      <c r="R49" s="131"/>
      <c r="S49" s="141"/>
      <c r="T49" s="141"/>
      <c r="U49" s="141"/>
      <c r="V49" s="141"/>
      <c r="W49" s="141"/>
      <c r="X49" s="155"/>
      <c r="Y49" s="129"/>
      <c r="Z49" s="131"/>
      <c r="AA49" s="131"/>
      <c r="AB49" s="131"/>
      <c r="AC49" s="131"/>
      <c r="AD49" s="131"/>
      <c r="AE49" s="141"/>
      <c r="AF49" s="141"/>
      <c r="AG49" s="141"/>
      <c r="AH49" s="141"/>
      <c r="AI49" s="141"/>
    </row>
    <row r="50" spans="1:35" x14ac:dyDescent="0.2">
      <c r="A50" s="163" t="str">
        <f>'JEUNES (4)'!I12</f>
        <v/>
      </c>
      <c r="B50" s="131"/>
      <c r="C50" s="131"/>
      <c r="D50" s="131"/>
      <c r="E50" s="131"/>
      <c r="F50" s="131"/>
      <c r="G50" s="143"/>
      <c r="H50" s="143"/>
      <c r="I50" s="143"/>
      <c r="J50" s="143"/>
      <c r="K50" s="143"/>
      <c r="L50" s="155"/>
      <c r="M50" s="161"/>
      <c r="N50" s="131"/>
      <c r="O50" s="131"/>
      <c r="P50" s="131"/>
      <c r="Q50" s="131"/>
      <c r="R50" s="131"/>
      <c r="S50" s="143"/>
      <c r="T50" s="143"/>
      <c r="U50" s="143"/>
      <c r="V50" s="143"/>
      <c r="W50" s="143"/>
      <c r="X50" s="155"/>
      <c r="Y50" s="161"/>
      <c r="Z50" s="131"/>
      <c r="AA50" s="131"/>
      <c r="AB50" s="131"/>
      <c r="AC50" s="131"/>
      <c r="AD50" s="131"/>
      <c r="AE50" s="143"/>
      <c r="AF50" s="143"/>
      <c r="AG50" s="143"/>
      <c r="AH50" s="143"/>
      <c r="AI50" s="143"/>
    </row>
    <row r="51" spans="1:35" x14ac:dyDescent="0.2">
      <c r="A51" s="142" t="s">
        <v>156</v>
      </c>
      <c r="B51" s="131"/>
      <c r="C51" s="131"/>
      <c r="D51" s="131"/>
      <c r="E51" s="131"/>
      <c r="F51" s="131"/>
      <c r="G51" s="131"/>
      <c r="H51" s="131"/>
      <c r="I51" s="131"/>
      <c r="J51" s="131"/>
      <c r="K51" s="140"/>
      <c r="L51" s="155"/>
      <c r="M51" s="142" t="s">
        <v>156</v>
      </c>
      <c r="N51" s="131"/>
      <c r="O51" s="131"/>
      <c r="P51" s="131"/>
      <c r="Q51" s="131"/>
      <c r="R51" s="131"/>
      <c r="S51" s="131"/>
      <c r="T51" s="131"/>
      <c r="U51" s="131"/>
      <c r="V51" s="131"/>
      <c r="W51" s="140"/>
      <c r="X51" s="155"/>
      <c r="Y51" s="142" t="s">
        <v>156</v>
      </c>
      <c r="Z51" s="130"/>
      <c r="AA51" s="130"/>
      <c r="AB51" s="130"/>
      <c r="AC51" s="131"/>
      <c r="AD51" s="131"/>
      <c r="AE51" s="131"/>
      <c r="AF51" s="131"/>
      <c r="AG51" s="131"/>
      <c r="AH51" s="131"/>
      <c r="AI51" s="140"/>
    </row>
    <row r="52" spans="1:35" ht="24" customHeight="1" x14ac:dyDescent="0.2">
      <c r="A52" s="159" t="str">
        <f>+A38</f>
        <v xml:space="preserve"> </v>
      </c>
      <c r="B52" s="131"/>
      <c r="C52" s="131"/>
      <c r="D52" s="131"/>
      <c r="E52" s="131"/>
      <c r="F52" s="131"/>
      <c r="G52" s="141"/>
      <c r="H52" s="141"/>
      <c r="I52" s="141"/>
      <c r="J52" s="141"/>
      <c r="K52" s="141"/>
      <c r="L52" s="155"/>
      <c r="M52" s="129"/>
      <c r="N52" s="131"/>
      <c r="O52" s="131"/>
      <c r="P52" s="131"/>
      <c r="Q52" s="131"/>
      <c r="R52" s="131"/>
      <c r="S52" s="141"/>
      <c r="T52" s="141"/>
      <c r="U52" s="141"/>
      <c r="V52" s="141"/>
      <c r="W52" s="141"/>
      <c r="X52" s="155"/>
      <c r="Y52" s="129"/>
      <c r="Z52" s="131"/>
      <c r="AA52" s="131"/>
      <c r="AB52" s="131"/>
      <c r="AC52" s="131"/>
      <c r="AD52" s="131"/>
      <c r="AE52" s="141"/>
      <c r="AF52" s="141"/>
      <c r="AG52" s="141"/>
      <c r="AH52" s="141"/>
      <c r="AI52" s="141"/>
    </row>
    <row r="53" spans="1:35" ht="24" customHeight="1" x14ac:dyDescent="0.2">
      <c r="A53" s="163" t="str">
        <f>'JEUNES (4)'!X13</f>
        <v/>
      </c>
      <c r="B53" s="131"/>
      <c r="C53" s="131"/>
      <c r="D53" s="131"/>
      <c r="E53" s="131"/>
      <c r="F53" s="131"/>
      <c r="G53" s="143"/>
      <c r="H53" s="143"/>
      <c r="I53" s="143"/>
      <c r="J53" s="143"/>
      <c r="K53" s="143"/>
      <c r="L53" s="155"/>
      <c r="M53" s="129"/>
      <c r="N53" s="131"/>
      <c r="O53" s="131"/>
      <c r="P53" s="131"/>
      <c r="Q53" s="131"/>
      <c r="R53" s="131"/>
      <c r="S53" s="143"/>
      <c r="T53" s="143"/>
      <c r="U53" s="143"/>
      <c r="V53" s="143"/>
      <c r="W53" s="143"/>
      <c r="X53" s="155"/>
      <c r="Y53" s="129"/>
      <c r="Z53" s="131"/>
      <c r="AA53" s="131"/>
      <c r="AB53" s="131"/>
      <c r="AC53" s="131"/>
      <c r="AD53" s="131"/>
      <c r="AE53" s="143"/>
      <c r="AF53" s="143"/>
      <c r="AG53" s="143"/>
      <c r="AH53" s="143"/>
      <c r="AI53" s="143"/>
    </row>
    <row r="54" spans="1:35" ht="18" customHeight="1" x14ac:dyDescent="0.2">
      <c r="A54" s="144" t="s">
        <v>406</v>
      </c>
      <c r="B54" s="131" t="s">
        <v>415</v>
      </c>
      <c r="C54" s="131" t="str">
        <f>'JEUNES (4)'!C13</f>
        <v xml:space="preserve"> </v>
      </c>
      <c r="D54" s="131"/>
      <c r="E54" s="131"/>
      <c r="F54" s="131"/>
      <c r="G54" s="131"/>
      <c r="H54" s="131"/>
      <c r="I54" s="131"/>
      <c r="J54" s="131"/>
      <c r="K54" s="139"/>
      <c r="L54" s="155"/>
      <c r="M54" s="144" t="s">
        <v>406</v>
      </c>
      <c r="N54" s="131"/>
      <c r="O54" s="131"/>
      <c r="P54" s="131"/>
      <c r="Q54" s="131"/>
      <c r="R54" s="131"/>
      <c r="S54" s="131"/>
      <c r="T54" s="131"/>
      <c r="U54" s="131"/>
      <c r="V54" s="131"/>
      <c r="W54" s="139"/>
      <c r="X54" s="155"/>
      <c r="Y54" s="144" t="s">
        <v>406</v>
      </c>
      <c r="Z54" s="145"/>
      <c r="AA54" s="145"/>
      <c r="AB54" s="145"/>
      <c r="AC54" s="131"/>
      <c r="AD54" s="131"/>
      <c r="AE54" s="131"/>
      <c r="AF54" s="131"/>
      <c r="AG54" s="131"/>
      <c r="AH54" s="131"/>
      <c r="AI54" s="139"/>
    </row>
    <row r="55" spans="1:35" ht="18" customHeight="1" x14ac:dyDescent="0.2">
      <c r="A55" s="146"/>
      <c r="B55" s="147"/>
      <c r="C55" s="147"/>
      <c r="D55" s="147"/>
      <c r="E55" s="147"/>
      <c r="F55" s="147"/>
      <c r="G55" s="147"/>
      <c r="H55" s="147"/>
      <c r="I55" s="147"/>
      <c r="J55" s="147"/>
      <c r="K55" s="148"/>
      <c r="L55" s="155"/>
      <c r="M55" s="146"/>
      <c r="N55" s="147"/>
      <c r="O55" s="147"/>
      <c r="P55" s="147"/>
      <c r="Q55" s="147"/>
      <c r="R55" s="147"/>
      <c r="S55" s="147"/>
      <c r="T55" s="147"/>
      <c r="U55" s="147"/>
      <c r="V55" s="147"/>
      <c r="W55" s="148"/>
      <c r="X55" s="155"/>
      <c r="Y55" s="146"/>
      <c r="Z55" s="147"/>
      <c r="AA55" s="147"/>
      <c r="AB55" s="147"/>
      <c r="AC55" s="147"/>
      <c r="AD55" s="147"/>
      <c r="AE55" s="147"/>
      <c r="AF55" s="147"/>
      <c r="AG55" s="147"/>
      <c r="AH55" s="147"/>
      <c r="AI55" s="148"/>
    </row>
    <row r="56" spans="1:35" ht="2" customHeight="1" x14ac:dyDescent="0.2">
      <c r="A56" s="155"/>
      <c r="B56" s="155"/>
      <c r="C56" s="155"/>
      <c r="D56" s="155"/>
      <c r="E56" s="155"/>
      <c r="F56" s="155"/>
      <c r="G56" s="155"/>
      <c r="H56" s="155"/>
      <c r="I56" s="155"/>
      <c r="J56" s="155"/>
      <c r="K56" s="155"/>
      <c r="L56" s="155"/>
      <c r="M56" s="155"/>
      <c r="N56" s="155"/>
      <c r="O56" s="155"/>
      <c r="P56" s="155"/>
      <c r="Q56" s="155"/>
      <c r="R56" s="155"/>
      <c r="S56" s="155"/>
      <c r="T56" s="155"/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  <c r="AF56" s="155"/>
      <c r="AG56" s="155"/>
      <c r="AH56" s="155"/>
      <c r="AI56" s="155"/>
    </row>
    <row r="57" spans="1:35" ht="19" customHeight="1" x14ac:dyDescent="0.2">
      <c r="A57" s="469" t="s">
        <v>437</v>
      </c>
      <c r="B57" s="469"/>
      <c r="C57" s="469"/>
      <c r="D57" s="469"/>
      <c r="E57" s="469"/>
      <c r="F57" s="469"/>
      <c r="G57" s="469"/>
      <c r="H57" s="469"/>
      <c r="I57" s="469"/>
      <c r="J57" s="469"/>
      <c r="K57" s="469"/>
      <c r="L57" s="151"/>
      <c r="M57" s="469" t="s">
        <v>437</v>
      </c>
      <c r="N57" s="469"/>
      <c r="O57" s="469"/>
      <c r="P57" s="469"/>
      <c r="Q57" s="469"/>
      <c r="R57" s="469"/>
      <c r="S57" s="469"/>
      <c r="T57" s="469"/>
      <c r="U57" s="469"/>
      <c r="V57" s="469"/>
      <c r="W57" s="469"/>
      <c r="X57" s="151"/>
      <c r="Y57" s="469" t="s">
        <v>437</v>
      </c>
      <c r="Z57" s="469"/>
      <c r="AA57" s="469"/>
      <c r="AB57" s="469"/>
      <c r="AC57" s="469"/>
      <c r="AD57" s="469"/>
      <c r="AE57" s="469"/>
      <c r="AF57" s="469"/>
      <c r="AG57" s="469"/>
      <c r="AH57" s="469"/>
      <c r="AI57" s="469"/>
    </row>
    <row r="58" spans="1:35" ht="19" customHeight="1" x14ac:dyDescent="0.2">
      <c r="A58" s="129"/>
      <c r="B58" s="131"/>
      <c r="C58" s="131"/>
      <c r="D58" s="131"/>
      <c r="E58" s="470"/>
      <c r="F58" s="470"/>
      <c r="G58" s="130" t="s">
        <v>28</v>
      </c>
      <c r="H58" s="133"/>
      <c r="I58" s="131" t="s">
        <v>427</v>
      </c>
      <c r="J58" s="131"/>
      <c r="K58" s="132"/>
      <c r="L58" s="152"/>
      <c r="M58" s="129"/>
      <c r="N58" s="131"/>
      <c r="O58" s="131"/>
      <c r="P58" s="131"/>
      <c r="Q58" s="470"/>
      <c r="R58" s="470"/>
      <c r="S58" s="130" t="s">
        <v>28</v>
      </c>
      <c r="T58" s="133"/>
      <c r="U58" s="131" t="s">
        <v>427</v>
      </c>
      <c r="V58" s="131"/>
      <c r="W58" s="132"/>
      <c r="X58" s="152"/>
      <c r="Y58" s="129"/>
      <c r="Z58" s="131"/>
      <c r="AA58" s="131"/>
      <c r="AB58" s="131"/>
      <c r="AC58" s="470"/>
      <c r="AD58" s="470"/>
      <c r="AE58" s="130" t="s">
        <v>28</v>
      </c>
      <c r="AF58" s="133"/>
      <c r="AG58" s="131" t="s">
        <v>427</v>
      </c>
      <c r="AH58" s="131"/>
      <c r="AI58" s="132"/>
    </row>
    <row r="59" spans="1:35" ht="19" customHeight="1" x14ac:dyDescent="0.2">
      <c r="A59" s="475" t="s">
        <v>437</v>
      </c>
      <c r="B59" s="475"/>
      <c r="C59" s="475"/>
      <c r="D59" s="475"/>
      <c r="E59" s="475"/>
      <c r="F59" s="475"/>
      <c r="G59" s="153" t="s">
        <v>426</v>
      </c>
      <c r="H59" s="468" t="s">
        <v>437</v>
      </c>
      <c r="I59" s="468"/>
      <c r="J59" s="468"/>
      <c r="K59" s="468"/>
      <c r="L59" s="160"/>
      <c r="M59" s="475" t="s">
        <v>437</v>
      </c>
      <c r="N59" s="475"/>
      <c r="O59" s="475"/>
      <c r="P59" s="475"/>
      <c r="Q59" s="475"/>
      <c r="R59" s="475"/>
      <c r="S59" s="153" t="s">
        <v>426</v>
      </c>
      <c r="T59" s="468" t="s">
        <v>437</v>
      </c>
      <c r="U59" s="468"/>
      <c r="V59" s="468"/>
      <c r="W59" s="468"/>
      <c r="X59" s="160"/>
      <c r="Y59" s="475" t="s">
        <v>437</v>
      </c>
      <c r="Z59" s="475"/>
      <c r="AA59" s="475"/>
      <c r="AB59" s="475"/>
      <c r="AC59" s="475"/>
      <c r="AD59" s="475"/>
      <c r="AE59" s="153" t="s">
        <v>426</v>
      </c>
      <c r="AF59" s="468" t="s">
        <v>437</v>
      </c>
      <c r="AG59" s="468"/>
      <c r="AH59" s="468"/>
      <c r="AI59" s="468"/>
    </row>
    <row r="60" spans="1:35" ht="19" customHeight="1" thickBot="1" x14ac:dyDescent="0.25">
      <c r="A60" s="134" t="s">
        <v>29</v>
      </c>
      <c r="B60" s="472" t="s">
        <v>437</v>
      </c>
      <c r="C60" s="472"/>
      <c r="D60" s="472"/>
      <c r="E60" s="472"/>
      <c r="F60" s="472"/>
      <c r="G60" s="135"/>
      <c r="H60" s="136" t="s">
        <v>407</v>
      </c>
      <c r="I60" s="135"/>
      <c r="J60" s="135"/>
      <c r="K60" s="137"/>
      <c r="L60" s="155"/>
      <c r="M60" s="134" t="s">
        <v>29</v>
      </c>
      <c r="N60" s="472">
        <v>43382</v>
      </c>
      <c r="O60" s="472"/>
      <c r="P60" s="472"/>
      <c r="Q60" s="472">
        <v>43382</v>
      </c>
      <c r="R60" s="472"/>
      <c r="S60" s="135"/>
      <c r="T60" s="136" t="s">
        <v>407</v>
      </c>
      <c r="U60" s="135"/>
      <c r="V60" s="135"/>
      <c r="W60" s="137"/>
      <c r="X60" s="155"/>
      <c r="Y60" s="134" t="s">
        <v>29</v>
      </c>
      <c r="Z60" s="472" t="s">
        <v>437</v>
      </c>
      <c r="AA60" s="472"/>
      <c r="AB60" s="472"/>
      <c r="AC60" s="472">
        <v>43382</v>
      </c>
      <c r="AD60" s="472"/>
      <c r="AE60" s="135"/>
      <c r="AF60" s="136" t="s">
        <v>407</v>
      </c>
      <c r="AG60" s="135"/>
      <c r="AH60" s="135"/>
      <c r="AI60" s="137"/>
    </row>
    <row r="61" spans="1:35" ht="19" customHeight="1" thickTop="1" x14ac:dyDescent="0.2">
      <c r="A61" s="129"/>
      <c r="B61" s="131"/>
      <c r="C61" s="131"/>
      <c r="D61" s="131"/>
      <c r="E61" s="138"/>
      <c r="F61" s="131"/>
      <c r="G61" s="131" t="s">
        <v>1021</v>
      </c>
      <c r="H61" s="131"/>
      <c r="I61" s="131"/>
      <c r="J61" s="131"/>
      <c r="K61" s="139"/>
      <c r="L61" s="155"/>
      <c r="M61" s="129"/>
      <c r="N61" s="131"/>
      <c r="O61" s="131"/>
      <c r="P61" s="131"/>
      <c r="Q61" s="138"/>
      <c r="R61" s="131"/>
      <c r="S61" s="131" t="s">
        <v>1021</v>
      </c>
      <c r="T61" s="131"/>
      <c r="U61" s="131"/>
      <c r="V61" s="131"/>
      <c r="W61" s="139"/>
      <c r="X61" s="155"/>
      <c r="Y61" s="129"/>
      <c r="Z61" s="131"/>
      <c r="AA61" s="131"/>
      <c r="AB61" s="131"/>
      <c r="AC61" s="138"/>
      <c r="AD61" s="131"/>
      <c r="AE61" s="131" t="s">
        <v>1021</v>
      </c>
      <c r="AF61" s="131"/>
      <c r="AG61" s="131"/>
      <c r="AH61" s="131"/>
      <c r="AI61" s="139"/>
    </row>
    <row r="62" spans="1:35" ht="19" customHeight="1" x14ac:dyDescent="0.25">
      <c r="A62" s="156" t="s">
        <v>405</v>
      </c>
      <c r="B62" s="474"/>
      <c r="C62" s="474"/>
      <c r="D62" s="474"/>
      <c r="E62" s="474"/>
      <c r="F62" s="474"/>
      <c r="G62" s="157" t="s">
        <v>12</v>
      </c>
      <c r="H62" s="157" t="s">
        <v>13</v>
      </c>
      <c r="I62" s="157" t="s">
        <v>14</v>
      </c>
      <c r="J62" s="157" t="s">
        <v>15</v>
      </c>
      <c r="K62" s="157" t="s">
        <v>16</v>
      </c>
      <c r="L62" s="158"/>
      <c r="M62" s="156" t="s">
        <v>405</v>
      </c>
      <c r="N62" s="474"/>
      <c r="O62" s="474"/>
      <c r="P62" s="474"/>
      <c r="Q62" s="474"/>
      <c r="R62" s="474"/>
      <c r="S62" s="157" t="s">
        <v>12</v>
      </c>
      <c r="T62" s="157" t="s">
        <v>13</v>
      </c>
      <c r="U62" s="157" t="s">
        <v>14</v>
      </c>
      <c r="V62" s="157" t="s">
        <v>15</v>
      </c>
      <c r="W62" s="157" t="s">
        <v>16</v>
      </c>
      <c r="X62" s="158"/>
      <c r="Y62" s="156" t="s">
        <v>405</v>
      </c>
      <c r="Z62" s="474"/>
      <c r="AA62" s="474"/>
      <c r="AB62" s="474"/>
      <c r="AC62" s="474"/>
      <c r="AD62" s="474"/>
      <c r="AE62" s="157" t="s">
        <v>12</v>
      </c>
      <c r="AF62" s="157" t="s">
        <v>13</v>
      </c>
      <c r="AG62" s="157" t="s">
        <v>14</v>
      </c>
      <c r="AH62" s="157" t="s">
        <v>15</v>
      </c>
      <c r="AI62" s="157" t="s">
        <v>16</v>
      </c>
    </row>
    <row r="63" spans="1:35" ht="24" customHeight="1" x14ac:dyDescent="0.2">
      <c r="A63" s="161"/>
      <c r="B63" s="131"/>
      <c r="C63" s="131"/>
      <c r="D63" s="131"/>
      <c r="E63" s="131"/>
      <c r="F63" s="131"/>
      <c r="G63" s="141"/>
      <c r="H63" s="141"/>
      <c r="I63" s="141"/>
      <c r="J63" s="141"/>
      <c r="K63" s="141"/>
      <c r="L63" s="155"/>
      <c r="M63" s="161"/>
      <c r="N63" s="131"/>
      <c r="O63" s="131"/>
      <c r="P63" s="131"/>
      <c r="Q63" s="131"/>
      <c r="R63" s="131"/>
      <c r="S63" s="141"/>
      <c r="T63" s="141"/>
      <c r="U63" s="141"/>
      <c r="V63" s="141"/>
      <c r="W63" s="141"/>
      <c r="X63" s="155"/>
      <c r="Y63" s="161"/>
      <c r="Z63" s="131"/>
      <c r="AA63" s="131"/>
      <c r="AB63" s="131"/>
      <c r="AC63" s="131"/>
      <c r="AD63" s="131"/>
      <c r="AE63" s="141"/>
      <c r="AF63" s="141"/>
      <c r="AG63" s="141"/>
      <c r="AH63" s="141"/>
      <c r="AI63" s="141"/>
    </row>
    <row r="64" spans="1:35" ht="24" customHeight="1" x14ac:dyDescent="0.2">
      <c r="A64" s="161"/>
      <c r="B64" s="131"/>
      <c r="C64" s="131"/>
      <c r="D64" s="131"/>
      <c r="E64" s="131"/>
      <c r="F64" s="131"/>
      <c r="G64" s="143"/>
      <c r="H64" s="143"/>
      <c r="I64" s="143"/>
      <c r="J64" s="143"/>
      <c r="K64" s="143"/>
      <c r="L64" s="155"/>
      <c r="M64" s="161"/>
      <c r="N64" s="131"/>
      <c r="O64" s="131"/>
      <c r="P64" s="131"/>
      <c r="Q64" s="131"/>
      <c r="R64" s="131"/>
      <c r="S64" s="143"/>
      <c r="T64" s="143"/>
      <c r="U64" s="143"/>
      <c r="V64" s="143"/>
      <c r="W64" s="143"/>
      <c r="X64" s="155"/>
      <c r="Y64" s="161"/>
      <c r="Z64" s="131"/>
      <c r="AA64" s="131"/>
      <c r="AB64" s="131"/>
      <c r="AC64" s="131"/>
      <c r="AD64" s="131"/>
      <c r="AE64" s="143"/>
      <c r="AF64" s="143"/>
      <c r="AG64" s="143"/>
      <c r="AH64" s="143"/>
      <c r="AI64" s="143"/>
    </row>
    <row r="65" spans="1:35" x14ac:dyDescent="0.2">
      <c r="A65" s="142" t="s">
        <v>156</v>
      </c>
      <c r="B65" s="130"/>
      <c r="C65" s="130"/>
      <c r="D65" s="130"/>
      <c r="E65" s="131"/>
      <c r="F65" s="131"/>
      <c r="G65" s="131"/>
      <c r="H65" s="131"/>
      <c r="I65" s="131"/>
      <c r="J65" s="131"/>
      <c r="K65" s="140"/>
      <c r="L65" s="155"/>
      <c r="M65" s="142" t="s">
        <v>156</v>
      </c>
      <c r="N65" s="130"/>
      <c r="O65" s="130"/>
      <c r="P65" s="130"/>
      <c r="Q65" s="131"/>
      <c r="R65" s="131"/>
      <c r="S65" s="131"/>
      <c r="T65" s="131"/>
      <c r="U65" s="131"/>
      <c r="V65" s="131"/>
      <c r="W65" s="140"/>
      <c r="X65" s="155"/>
      <c r="Y65" s="142" t="s">
        <v>156</v>
      </c>
      <c r="Z65" s="130"/>
      <c r="AA65" s="130"/>
      <c r="AB65" s="130"/>
      <c r="AC65" s="131"/>
      <c r="AD65" s="131"/>
      <c r="AE65" s="131"/>
      <c r="AF65" s="131"/>
      <c r="AG65" s="131"/>
      <c r="AH65" s="131"/>
      <c r="AI65" s="140"/>
    </row>
    <row r="66" spans="1:35" ht="24" customHeight="1" x14ac:dyDescent="0.2">
      <c r="A66" s="161"/>
      <c r="B66" s="131"/>
      <c r="C66" s="131"/>
      <c r="D66" s="131"/>
      <c r="E66" s="131"/>
      <c r="F66" s="131"/>
      <c r="G66" s="141"/>
      <c r="H66" s="141"/>
      <c r="I66" s="141"/>
      <c r="J66" s="141"/>
      <c r="K66" s="141"/>
      <c r="L66" s="155"/>
      <c r="M66" s="161"/>
      <c r="N66" s="131"/>
      <c r="O66" s="131"/>
      <c r="P66" s="131"/>
      <c r="Q66" s="131"/>
      <c r="R66" s="131"/>
      <c r="S66" s="141"/>
      <c r="T66" s="141"/>
      <c r="U66" s="141"/>
      <c r="V66" s="141"/>
      <c r="W66" s="141"/>
      <c r="X66" s="155"/>
      <c r="Y66" s="161"/>
      <c r="Z66" s="131"/>
      <c r="AA66" s="131"/>
      <c r="AB66" s="131"/>
      <c r="AC66" s="131"/>
      <c r="AD66" s="131"/>
      <c r="AE66" s="141"/>
      <c r="AF66" s="141"/>
      <c r="AG66" s="141"/>
      <c r="AH66" s="141"/>
      <c r="AI66" s="141"/>
    </row>
    <row r="67" spans="1:35" ht="24" customHeight="1" x14ac:dyDescent="0.2">
      <c r="A67" s="129"/>
      <c r="B67" s="131"/>
      <c r="C67" s="131"/>
      <c r="D67" s="131"/>
      <c r="E67" s="131"/>
      <c r="F67" s="131"/>
      <c r="G67" s="143"/>
      <c r="H67" s="143"/>
      <c r="I67" s="143"/>
      <c r="J67" s="143"/>
      <c r="K67" s="143"/>
      <c r="L67" s="155"/>
      <c r="M67" s="129"/>
      <c r="N67" s="131"/>
      <c r="O67" s="131"/>
      <c r="P67" s="131"/>
      <c r="Q67" s="131"/>
      <c r="R67" s="131"/>
      <c r="S67" s="143"/>
      <c r="T67" s="143"/>
      <c r="U67" s="143"/>
      <c r="V67" s="143"/>
      <c r="W67" s="143"/>
      <c r="X67" s="155"/>
      <c r="Y67" s="129"/>
      <c r="Z67" s="131"/>
      <c r="AA67" s="131"/>
      <c r="AB67" s="131"/>
      <c r="AC67" s="131"/>
      <c r="AD67" s="131"/>
      <c r="AE67" s="143"/>
      <c r="AF67" s="143"/>
      <c r="AG67" s="143"/>
      <c r="AH67" s="143"/>
      <c r="AI67" s="143"/>
    </row>
    <row r="68" spans="1:35" ht="18" customHeight="1" x14ac:dyDescent="0.2">
      <c r="A68" s="144" t="s">
        <v>406</v>
      </c>
      <c r="B68" s="145"/>
      <c r="C68" s="145"/>
      <c r="D68" s="145"/>
      <c r="E68" s="131"/>
      <c r="F68" s="131"/>
      <c r="G68" s="131"/>
      <c r="H68" s="131"/>
      <c r="I68" s="131"/>
      <c r="J68" s="131"/>
      <c r="K68" s="139"/>
      <c r="L68" s="155"/>
      <c r="M68" s="144" t="s">
        <v>406</v>
      </c>
      <c r="N68" s="145"/>
      <c r="O68" s="145"/>
      <c r="P68" s="145"/>
      <c r="Q68" s="131"/>
      <c r="R68" s="131"/>
      <c r="S68" s="131"/>
      <c r="T68" s="131"/>
      <c r="U68" s="131"/>
      <c r="V68" s="131"/>
      <c r="W68" s="139"/>
      <c r="X68" s="155"/>
      <c r="Y68" s="144" t="s">
        <v>406</v>
      </c>
      <c r="Z68" s="145"/>
      <c r="AA68" s="145"/>
      <c r="AB68" s="145"/>
      <c r="AC68" s="131"/>
      <c r="AD68" s="131"/>
      <c r="AE68" s="131"/>
      <c r="AF68" s="131"/>
      <c r="AG68" s="131"/>
      <c r="AH68" s="131"/>
      <c r="AI68" s="139"/>
    </row>
    <row r="69" spans="1:35" ht="18" customHeight="1" x14ac:dyDescent="0.2">
      <c r="A69" s="146"/>
      <c r="B69" s="147"/>
      <c r="C69" s="147"/>
      <c r="D69" s="147"/>
      <c r="E69" s="147"/>
      <c r="F69" s="147"/>
      <c r="G69" s="147"/>
      <c r="H69" s="147"/>
      <c r="I69" s="147"/>
      <c r="J69" s="147"/>
      <c r="K69" s="148"/>
      <c r="L69" s="155"/>
      <c r="M69" s="146"/>
      <c r="N69" s="147"/>
      <c r="O69" s="147"/>
      <c r="P69" s="147"/>
      <c r="Q69" s="147"/>
      <c r="R69" s="147"/>
      <c r="S69" s="147"/>
      <c r="T69" s="147"/>
      <c r="U69" s="147"/>
      <c r="V69" s="147"/>
      <c r="W69" s="148"/>
      <c r="X69" s="155"/>
      <c r="Y69" s="146"/>
      <c r="Z69" s="147"/>
      <c r="AA69" s="147"/>
      <c r="AB69" s="147"/>
      <c r="AC69" s="147"/>
      <c r="AD69" s="147"/>
      <c r="AE69" s="147"/>
      <c r="AF69" s="147"/>
      <c r="AG69" s="147"/>
      <c r="AH69" s="147"/>
      <c r="AI69" s="148"/>
    </row>
  </sheetData>
  <mergeCells count="90">
    <mergeCell ref="B20:F20"/>
    <mergeCell ref="N20:R20"/>
    <mergeCell ref="Z20:AD20"/>
    <mergeCell ref="B32:F32"/>
    <mergeCell ref="A31:F31"/>
    <mergeCell ref="H31:K31"/>
    <mergeCell ref="M31:R31"/>
    <mergeCell ref="T31:W31"/>
    <mergeCell ref="A29:K29"/>
    <mergeCell ref="M29:W29"/>
    <mergeCell ref="Y29:AI29"/>
    <mergeCell ref="B30:F30"/>
    <mergeCell ref="N30:R30"/>
    <mergeCell ref="Y31:AD31"/>
    <mergeCell ref="AF31:AI31"/>
    <mergeCell ref="N32:R32"/>
    <mergeCell ref="Y1:AI1"/>
    <mergeCell ref="N2:R2"/>
    <mergeCell ref="B4:F4"/>
    <mergeCell ref="B6:F6"/>
    <mergeCell ref="N6:R6"/>
    <mergeCell ref="Z6:AD6"/>
    <mergeCell ref="A1:K1"/>
    <mergeCell ref="B2:F2"/>
    <mergeCell ref="A3:F3"/>
    <mergeCell ref="H3:K3"/>
    <mergeCell ref="M1:W1"/>
    <mergeCell ref="M3:R3"/>
    <mergeCell ref="T3:W3"/>
    <mergeCell ref="Y3:AD3"/>
    <mergeCell ref="AF3:AI3"/>
    <mergeCell ref="N4:R4"/>
    <mergeCell ref="Z4:AD4"/>
    <mergeCell ref="A15:K15"/>
    <mergeCell ref="M15:W15"/>
    <mergeCell ref="Y15:AI15"/>
    <mergeCell ref="B16:F16"/>
    <mergeCell ref="N16:R16"/>
    <mergeCell ref="Y17:AD17"/>
    <mergeCell ref="AF17:AI17"/>
    <mergeCell ref="B18:F18"/>
    <mergeCell ref="N18:R18"/>
    <mergeCell ref="Z18:AD18"/>
    <mergeCell ref="A17:F17"/>
    <mergeCell ref="H17:K17"/>
    <mergeCell ref="M17:R17"/>
    <mergeCell ref="T17:W17"/>
    <mergeCell ref="Z32:AD32"/>
    <mergeCell ref="N34:R34"/>
    <mergeCell ref="Z34:AD34"/>
    <mergeCell ref="A43:K43"/>
    <mergeCell ref="M43:W43"/>
    <mergeCell ref="Y43:AI43"/>
    <mergeCell ref="B34:F34"/>
    <mergeCell ref="B44:F44"/>
    <mergeCell ref="N44:R44"/>
    <mergeCell ref="AC44:AD44"/>
    <mergeCell ref="Z46:AD46"/>
    <mergeCell ref="B48:F48"/>
    <mergeCell ref="N48:R48"/>
    <mergeCell ref="Z48:AD48"/>
    <mergeCell ref="A45:F45"/>
    <mergeCell ref="H45:K45"/>
    <mergeCell ref="M45:R45"/>
    <mergeCell ref="T45:W45"/>
    <mergeCell ref="Y45:AD45"/>
    <mergeCell ref="B62:F62"/>
    <mergeCell ref="N62:R62"/>
    <mergeCell ref="Z62:AD62"/>
    <mergeCell ref="A59:F59"/>
    <mergeCell ref="H59:K59"/>
    <mergeCell ref="M59:R59"/>
    <mergeCell ref="T59:W59"/>
    <mergeCell ref="Y59:AD59"/>
    <mergeCell ref="Z2:AD2"/>
    <mergeCell ref="Z16:AD16"/>
    <mergeCell ref="Z30:AD30"/>
    <mergeCell ref="AF59:AI59"/>
    <mergeCell ref="B60:F60"/>
    <mergeCell ref="N60:R60"/>
    <mergeCell ref="Z60:AD60"/>
    <mergeCell ref="A57:K57"/>
    <mergeCell ref="M57:W57"/>
    <mergeCell ref="Y57:AI57"/>
    <mergeCell ref="E58:F58"/>
    <mergeCell ref="Q58:R58"/>
    <mergeCell ref="AC58:AD58"/>
    <mergeCell ref="AF45:AI45"/>
    <mergeCell ref="B46:F46"/>
    <mergeCell ref="N46:R46"/>
  </mergeCells>
  <pageMargins left="0.11811023622047245" right="0.11811023622047245" top="0.15748031496062992" bottom="0.15748031496062992" header="0.11811023622047245" footer="0.11811023622047245"/>
  <pageSetup paperSize="9" scale="70" orientation="landscape" r:id="rId1"/>
  <headerFooter>
    <oddHeader>&amp;C&amp;"Calibri"&amp;10&amp;KFF8C00C2 - Confidential&amp;1#</oddHeader>
  </headerFooter>
  <rowBreaks count="1" manualBreakCount="1">
    <brk id="42" max="34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8" tint="0.39997558519241921"/>
  </sheetPr>
  <dimension ref="A1:CS144"/>
  <sheetViews>
    <sheetView showGridLines="0" topLeftCell="A3" zoomScale="80" zoomScaleNormal="80" zoomScaleSheetLayoutView="80" workbookViewId="0">
      <selection activeCell="AC18" sqref="AC18:AF18"/>
    </sheetView>
  </sheetViews>
  <sheetFormatPr baseColWidth="10" defaultColWidth="11.1640625" defaultRowHeight="16" outlineLevelCol="1" x14ac:dyDescent="0.2"/>
  <cols>
    <col min="1" max="1" width="6.6640625" customWidth="1"/>
    <col min="2" max="12" width="5.6640625" customWidth="1"/>
    <col min="13" max="13" width="8.6640625" customWidth="1"/>
    <col min="14" max="14" width="5.6640625" customWidth="1"/>
    <col min="15" max="15" width="6.5" customWidth="1"/>
    <col min="16" max="18" width="5.6640625" customWidth="1"/>
    <col min="19" max="19" width="5.5" customWidth="1"/>
    <col min="20" max="27" width="5.6640625" customWidth="1"/>
    <col min="28" max="28" width="2.33203125" customWidth="1"/>
    <col min="29" max="29" width="22.1640625" customWidth="1"/>
    <col min="30" max="30" width="16.6640625" customWidth="1"/>
    <col min="31" max="31" width="9.1640625" customWidth="1"/>
    <col min="32" max="32" width="27.1640625" customWidth="1"/>
    <col min="33" max="33" width="26.33203125" bestFit="1" customWidth="1"/>
    <col min="34" max="39" width="5.6640625" hidden="1" customWidth="1" outlineLevel="1"/>
    <col min="40" max="49" width="5.6640625" style="3" hidden="1" customWidth="1" outlineLevel="1"/>
    <col min="50" max="50" width="5.6640625" style="3" hidden="1" customWidth="1" outlineLevel="1" collapsed="1"/>
    <col min="51" max="56" width="5.6640625" style="3" hidden="1" customWidth="1" outlineLevel="1"/>
    <col min="57" max="57" width="5.6640625" style="3" customWidth="1" collapsed="1"/>
    <col min="58" max="59" width="5.6640625" style="3" customWidth="1"/>
    <col min="60" max="60" width="5.6640625" customWidth="1"/>
    <col min="61" max="63" width="5.6640625" hidden="1" customWidth="1" outlineLevel="1"/>
    <col min="64" max="65" width="11" hidden="1" customWidth="1" outlineLevel="1"/>
    <col min="66" max="66" width="16.6640625" hidden="1" customWidth="1" outlineLevel="1"/>
    <col min="67" max="71" width="11" hidden="1" customWidth="1" outlineLevel="1"/>
    <col min="72" max="72" width="11.1640625" collapsed="1"/>
    <col min="86" max="86" width="21.1640625" customWidth="1"/>
  </cols>
  <sheetData>
    <row r="1" spans="1:97" ht="20" customHeight="1" x14ac:dyDescent="0.2">
      <c r="A1" s="114" t="s">
        <v>1661</v>
      </c>
      <c r="CA1" s="287" t="s">
        <v>1032</v>
      </c>
      <c r="CB1" t="s">
        <v>1053</v>
      </c>
      <c r="CC1">
        <f>R3</f>
        <v>0</v>
      </c>
      <c r="CD1" s="288" t="str">
        <f>+D2</f>
        <v/>
      </c>
      <c r="CE1" s="288" t="str">
        <f>IF(ISBLANK(D3),D2,D3)</f>
        <v/>
      </c>
      <c r="CF1">
        <f>I3</f>
        <v>0</v>
      </c>
      <c r="CG1">
        <f>N3</f>
        <v>0</v>
      </c>
      <c r="CH1" t="str">
        <f>B6&amp;" "&amp;F6</f>
        <v xml:space="preserve"> </v>
      </c>
      <c r="CI1" t="s">
        <v>156</v>
      </c>
      <c r="CJ1" t="str">
        <f>N6&amp;" "&amp;R6</f>
        <v xml:space="preserve"> </v>
      </c>
      <c r="CL1">
        <f>L23 + L33</f>
        <v>0</v>
      </c>
      <c r="CM1">
        <f>N23 +N33</f>
        <v>0</v>
      </c>
      <c r="CO1">
        <f>AL33</f>
        <v>0</v>
      </c>
      <c r="CP1">
        <f>AL34</f>
        <v>0</v>
      </c>
      <c r="CR1" t="e">
        <f>#REF!</f>
        <v>#REF!</v>
      </c>
      <c r="CS1" t="e">
        <f>#REF!</f>
        <v>#REF!</v>
      </c>
    </row>
    <row r="2" spans="1:97" ht="16" customHeight="1" x14ac:dyDescent="0.2">
      <c r="A2" s="45" t="s">
        <v>23</v>
      </c>
      <c r="C2" s="25"/>
      <c r="D2" s="505" t="str">
        <f>+IFERROR(VLOOKUP(R3,'Jour Match'!$B$26:$C$34,2,0),"")</f>
        <v/>
      </c>
      <c r="E2" s="506"/>
      <c r="AC2" t="s">
        <v>417</v>
      </c>
      <c r="AD2" s="87"/>
      <c r="AE2" s="87"/>
      <c r="AF2" s="87"/>
      <c r="AH2" s="87"/>
    </row>
    <row r="3" spans="1:97" ht="25" customHeight="1" x14ac:dyDescent="0.25">
      <c r="A3" s="27" t="s">
        <v>272</v>
      </c>
      <c r="D3" s="435"/>
      <c r="E3" s="436"/>
      <c r="G3" s="45" t="s">
        <v>263</v>
      </c>
      <c r="I3" s="507"/>
      <c r="J3" s="513"/>
      <c r="K3" s="513"/>
      <c r="L3" s="513"/>
      <c r="M3" s="88" t="s">
        <v>28</v>
      </c>
      <c r="N3" s="92"/>
      <c r="O3" s="89"/>
      <c r="P3" s="45" t="s">
        <v>387</v>
      </c>
      <c r="Q3" s="27"/>
      <c r="R3" s="91"/>
      <c r="AC3" s="27" t="s">
        <v>373</v>
      </c>
      <c r="AN3"/>
    </row>
    <row r="4" spans="1:97" ht="16" customHeight="1" thickBot="1" x14ac:dyDescent="0.25">
      <c r="E4" s="13"/>
      <c r="F4" s="8"/>
      <c r="G4" s="7"/>
      <c r="H4" s="7"/>
      <c r="I4" s="7"/>
      <c r="J4" s="7"/>
      <c r="K4" s="7"/>
      <c r="L4" s="7"/>
      <c r="M4" s="7"/>
      <c r="N4" s="7"/>
      <c r="O4" s="7"/>
      <c r="AC4" s="27" t="s">
        <v>372</v>
      </c>
      <c r="AN4"/>
    </row>
    <row r="5" spans="1:97" ht="16" customHeight="1" thickTop="1" x14ac:dyDescent="0.2">
      <c r="A5" s="61"/>
      <c r="B5" s="50" t="s">
        <v>273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94" t="s">
        <v>228</v>
      </c>
      <c r="O5" s="48"/>
      <c r="P5" s="48"/>
      <c r="Q5" s="48"/>
      <c r="R5" s="48"/>
      <c r="S5" s="48"/>
      <c r="T5" s="48"/>
      <c r="U5" s="51"/>
      <c r="AC5" s="27" t="s">
        <v>376</v>
      </c>
      <c r="AN5"/>
    </row>
    <row r="6" spans="1:97" ht="25" customHeight="1" thickBot="1" x14ac:dyDescent="0.25">
      <c r="A6" s="62"/>
      <c r="B6" s="509"/>
      <c r="C6" s="510"/>
      <c r="D6" s="510"/>
      <c r="E6" s="5"/>
      <c r="F6" s="52"/>
      <c r="G6" s="5"/>
      <c r="H6" s="5"/>
      <c r="I6" s="5"/>
      <c r="J6" s="5"/>
      <c r="K6" s="5"/>
      <c r="L6" s="5"/>
      <c r="M6" s="5"/>
      <c r="N6" s="511"/>
      <c r="O6" s="510"/>
      <c r="P6" s="510"/>
      <c r="Q6" s="5"/>
      <c r="R6" s="52"/>
      <c r="S6" s="5"/>
      <c r="T6" s="5"/>
      <c r="U6" s="53"/>
      <c r="AC6" s="27" t="s">
        <v>374</v>
      </c>
      <c r="AM6" s="2"/>
      <c r="AN6" s="4"/>
    </row>
    <row r="7" spans="1:97" ht="16" customHeight="1" thickTop="1" x14ac:dyDescent="0.25">
      <c r="V7" s="75" t="str">
        <f>'EQUIPE A 3'!W6</f>
        <v>Mise à jour du 24 Novembre 2025</v>
      </c>
      <c r="AC7" s="27" t="s">
        <v>377</v>
      </c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J7" s="15"/>
      <c r="BK7" s="15"/>
      <c r="BL7" s="15"/>
      <c r="BO7" s="15"/>
    </row>
    <row r="8" spans="1:97" ht="16" customHeight="1" thickBot="1" x14ac:dyDescent="0.25">
      <c r="G8" s="14"/>
      <c r="AC8" s="27" t="s">
        <v>482</v>
      </c>
    </row>
    <row r="9" spans="1:97" ht="16" customHeight="1" thickTop="1" thickBot="1" x14ac:dyDescent="0.25">
      <c r="A9" s="63"/>
      <c r="B9" s="95" t="s">
        <v>370</v>
      </c>
      <c r="C9" s="56" t="s">
        <v>274</v>
      </c>
      <c r="D9" s="57"/>
      <c r="E9" s="57"/>
      <c r="F9" s="57"/>
      <c r="G9" s="57"/>
      <c r="H9" s="59"/>
      <c r="I9" s="71" t="s">
        <v>275</v>
      </c>
      <c r="J9" s="442" t="s">
        <v>367</v>
      </c>
      <c r="K9" s="443"/>
      <c r="L9" s="57"/>
      <c r="M9" s="59"/>
      <c r="N9" s="60"/>
      <c r="O9" s="59"/>
      <c r="P9" s="96" t="s">
        <v>370</v>
      </c>
      <c r="Q9" s="56" t="s">
        <v>274</v>
      </c>
      <c r="R9" s="57"/>
      <c r="S9" s="59"/>
      <c r="T9" s="59"/>
      <c r="U9" s="59"/>
      <c r="V9" s="59"/>
      <c r="W9" s="59"/>
      <c r="X9" s="71" t="s">
        <v>275</v>
      </c>
      <c r="Y9" s="442" t="s">
        <v>367</v>
      </c>
      <c r="Z9" s="443"/>
      <c r="AA9" s="60"/>
      <c r="AC9" s="27" t="s">
        <v>375</v>
      </c>
    </row>
    <row r="10" spans="1:97" ht="25" customHeight="1" x14ac:dyDescent="0.25">
      <c r="A10" s="290" t="s">
        <v>0</v>
      </c>
      <c r="B10" s="311"/>
      <c r="C10" s="291" t="str">
        <f>IF(B10="","",IFERROR(VLOOKUP($B$6&amp;$B10,'LISTE JOUEURS'!$P:$S,2,0),"")) &amp;" "&amp; IF(B10="","",IFERROR(VLOOKUP($B$6&amp;$B10,'LISTE JOUEURS'!$P:$S,3,0),""))</f>
        <v xml:space="preserve"> </v>
      </c>
      <c r="D10" s="292"/>
      <c r="E10" s="292"/>
      <c r="F10" s="292"/>
      <c r="G10" s="293"/>
      <c r="H10" s="293"/>
      <c r="I10" s="312" t="str">
        <f>IF(B10="","",IFERROR(VLOOKUP($B$6&amp;$B10,'LISTE JOUEURS'!$P:$U,4,0),500))</f>
        <v/>
      </c>
      <c r="J10" s="519" t="str">
        <f>IF(B10="","",IFERROR(VLOOKUP($B$6&amp;$B10,'LISTE JOUEURS'!$P:$U,5,0),""))</f>
        <v/>
      </c>
      <c r="K10" s="520"/>
      <c r="L10" s="313"/>
      <c r="M10" s="293"/>
      <c r="N10" s="389"/>
      <c r="O10" s="294" t="s">
        <v>4</v>
      </c>
      <c r="P10" s="314"/>
      <c r="Q10" s="295" t="str">
        <f>IF(P10="","",IFERROR(VLOOKUP($N$6&amp;$P10,'LISTE JOUEURS'!$P:$S,2,0),""))&amp; " "&amp;IF(P10="","",IFERROR(VLOOKUP($N$6&amp;$P10,'LISTE JOUEURS'!$P:$S,3,0),""))</f>
        <v xml:space="preserve"> </v>
      </c>
      <c r="R10" s="292"/>
      <c r="S10" s="292"/>
      <c r="T10" s="292"/>
      <c r="U10" s="293"/>
      <c r="V10" s="293"/>
      <c r="W10" s="293"/>
      <c r="X10" s="312" t="str">
        <f>IF(P10="","",IFERROR(VLOOKUP($N$6&amp;$P10,'LISTE JOUEURS'!$P:$U,4,0),500))</f>
        <v/>
      </c>
      <c r="Y10" s="521" t="str">
        <f>IF(P10="","",IFERROR(VLOOKUP($N$6&amp;$P10,'LISTE JOUEURS'!$P:$U,5,0),""))</f>
        <v/>
      </c>
      <c r="Z10" s="522"/>
      <c r="AA10" s="296"/>
      <c r="AC10" s="27" t="s">
        <v>394</v>
      </c>
      <c r="AM10" s="2"/>
      <c r="AN10" s="4"/>
      <c r="BP10" s="21" t="s">
        <v>31</v>
      </c>
      <c r="BQ10" s="22" t="s">
        <v>29</v>
      </c>
      <c r="BR10" s="23" t="s">
        <v>30</v>
      </c>
    </row>
    <row r="11" spans="1:97" ht="25" customHeight="1" x14ac:dyDescent="0.25">
      <c r="A11" s="297" t="s">
        <v>1</v>
      </c>
      <c r="B11" s="315"/>
      <c r="C11" s="298" t="str">
        <f>IF(B11="","",IFERROR(VLOOKUP($B$6&amp;$B11,'LISTE JOUEURS'!$P:$S,2,0),"")) &amp;" "&amp; IF(B11="","",IFERROR(VLOOKUP($B$6&amp;$B11,'LISTE JOUEURS'!$P:$S,3,0),""))</f>
        <v xml:space="preserve"> </v>
      </c>
      <c r="D11" s="299"/>
      <c r="E11" s="299"/>
      <c r="F11" s="299"/>
      <c r="G11" s="299"/>
      <c r="H11" s="299"/>
      <c r="I11" s="316" t="str">
        <f>IF(B11="","",IFERROR(VLOOKUP($B$6&amp;$B11,'LISTE JOUEURS'!$P:$U,4,0),500))</f>
        <v/>
      </c>
      <c r="J11" s="523" t="str">
        <f>IF(B11="","",IFERROR(VLOOKUP($B$6&amp;$B11,'LISTE JOUEURS'!$P:$U,5,0),""))</f>
        <v/>
      </c>
      <c r="K11" s="524"/>
      <c r="L11" s="317"/>
      <c r="M11" s="299"/>
      <c r="N11" s="390"/>
      <c r="O11" s="300" t="s">
        <v>5</v>
      </c>
      <c r="P11" s="318"/>
      <c r="Q11" s="301" t="str">
        <f>IF(P11="","",IFERROR(VLOOKUP($N$6&amp;$P11,'LISTE JOUEURS'!$P:$S,2,0),""))&amp; " "&amp;IF(P11="","",IFERROR(VLOOKUP($N$6&amp;$P11,'LISTE JOUEURS'!$P:$S,3,0),""))</f>
        <v xml:space="preserve"> </v>
      </c>
      <c r="R11" s="299"/>
      <c r="S11" s="299"/>
      <c r="T11" s="299"/>
      <c r="U11" s="302"/>
      <c r="V11" s="302"/>
      <c r="W11" s="302"/>
      <c r="X11" s="316" t="str">
        <f>IF(P11="","",IFERROR(VLOOKUP($N$6&amp;$P11,'LISTE JOUEURS'!$P:$U,4,0),500))</f>
        <v/>
      </c>
      <c r="Y11" s="525" t="str">
        <f>IF(P11="","",IFERROR(VLOOKUP($N$6&amp;$P11,'LISTE JOUEURS'!$P:$U,5,0),""))</f>
        <v/>
      </c>
      <c r="Z11" s="526"/>
      <c r="AA11" s="303"/>
      <c r="AC11" s="27" t="s">
        <v>395</v>
      </c>
      <c r="BP11" s="29" t="s">
        <v>32</v>
      </c>
      <c r="BQ11" s="30" t="str">
        <f>'JEUNES (2)'!$D$2</f>
        <v/>
      </c>
      <c r="BR11" s="31">
        <f>IFERROR(IF(L17&gt;0,VLOOKUP(B6&amp;B10,'LISTE JOUEURS'!$P:$U,6,0),VLOOKUP(N6&amp;P10,'LISTE JOUEURS'!$P:$U,6,0)),0)</f>
        <v>0</v>
      </c>
      <c r="BS11" t="e">
        <f>+_xlfn.XLOOKUP(BR11,'LISTE JOUEURS'!$U:$U,'LISTE JOUEURS'!$Q:$Q)&amp;" "&amp;_xlfn.XLOOKUP(BR11,'LISTE JOUEURS'!$U:$U,'LISTE JOUEURS'!$R:$R)</f>
        <v>#N/A</v>
      </c>
    </row>
    <row r="12" spans="1:97" ht="25" customHeight="1" x14ac:dyDescent="0.25">
      <c r="A12" s="531" t="s">
        <v>464</v>
      </c>
      <c r="B12" s="315"/>
      <c r="C12" s="298" t="str">
        <f>IF(B12="","",IFERROR(VLOOKUP($B$6&amp;$B12,'LISTE JOUEURS'!$P:$S,2,0),"")) &amp;" "&amp; IF(B12="","",IFERROR(VLOOKUP($B$6&amp;$B12,'LISTE JOUEURS'!$P:$S,3,0),""))</f>
        <v xml:space="preserve"> </v>
      </c>
      <c r="D12" s="299"/>
      <c r="E12" s="302"/>
      <c r="F12" s="302"/>
      <c r="G12" s="302"/>
      <c r="H12" s="302"/>
      <c r="I12" s="316" t="str">
        <f>IF(B12="","",IFERROR(VLOOKUP($B$6&amp;$B12,'LISTE JOUEURS'!$P:$U,4,0),500))</f>
        <v/>
      </c>
      <c r="J12" s="523" t="str">
        <f>IF(B12="","",IFERROR(VLOOKUP($B$6&amp;$B12,'LISTE JOUEURS'!$P:$U,5,0),""))</f>
        <v/>
      </c>
      <c r="K12" s="534"/>
      <c r="L12" s="317"/>
      <c r="M12" s="302"/>
      <c r="N12" s="390"/>
      <c r="O12" s="531" t="s">
        <v>464</v>
      </c>
      <c r="P12" s="318"/>
      <c r="Q12" s="301" t="str">
        <f>IF(P12="","",IFERROR(VLOOKUP($N$6&amp;$P12,'LISTE JOUEURS'!$P:$S,2,0),""))&amp; " "&amp;IF(P12="","",IFERROR(VLOOKUP($N$6&amp;$P12,'LISTE JOUEURS'!$P:$S,3,0),""))</f>
        <v xml:space="preserve"> </v>
      </c>
      <c r="R12" s="299"/>
      <c r="S12" s="299"/>
      <c r="T12" s="299"/>
      <c r="U12" s="302"/>
      <c r="V12" s="302"/>
      <c r="W12" s="302"/>
      <c r="X12" s="316" t="str">
        <f>IF(P12="","",IFERROR(VLOOKUP($N$6&amp;$P12,'LISTE JOUEURS'!$P:$U,4,0),500))</f>
        <v/>
      </c>
      <c r="Y12" s="523" t="str">
        <f>IF(P12="","",IFERROR(VLOOKUP($N$6&amp;$P12,'LISTE JOUEURS'!$P:$U,5,0),""))</f>
        <v/>
      </c>
      <c r="Z12" s="525"/>
      <c r="AA12" s="303"/>
      <c r="AC12" s="27" t="s">
        <v>404</v>
      </c>
      <c r="BP12" s="29" t="s">
        <v>33</v>
      </c>
      <c r="BQ12" s="30" t="str">
        <f>'JEUNES (2)'!$D$2</f>
        <v/>
      </c>
      <c r="BR12" s="31">
        <f>IFERROR(IF(L17=0,VLOOKUP(B6&amp;B10,'LISTE JOUEURS'!$P:$U,6,0),VLOOKUP(N6&amp;P10,'LISTE JOUEURS'!$P:$U,6,0)),0)</f>
        <v>0</v>
      </c>
      <c r="BS12" t="e">
        <f>+_xlfn.XLOOKUP(BR12,'LISTE JOUEURS'!$U:$U,'LISTE JOUEURS'!$Q:$Q)&amp;" "&amp;_xlfn.XLOOKUP(BR12,'LISTE JOUEURS'!$U:$U,'LISTE JOUEURS'!$R:$R)</f>
        <v>#N/A</v>
      </c>
    </row>
    <row r="13" spans="1:97" ht="25" customHeight="1" thickBot="1" x14ac:dyDescent="0.3">
      <c r="A13" s="532"/>
      <c r="B13" s="319"/>
      <c r="C13" s="305" t="str">
        <f>IF(B13="","",IFERROR(VLOOKUP($B$6&amp;$B13,'LISTE JOUEURS'!$P:$S,2,0),"")) &amp;" "&amp; IF(B13="","",IFERROR(VLOOKUP($B$6&amp;$B13,'LISTE JOUEURS'!$P:$S,3,0),""))</f>
        <v xml:space="preserve"> </v>
      </c>
      <c r="D13" s="306"/>
      <c r="E13" s="306"/>
      <c r="F13" s="306"/>
      <c r="G13" s="306"/>
      <c r="H13" s="306"/>
      <c r="I13" s="320" t="str">
        <f>IF(B13="","",IFERROR(VLOOKUP($B$6&amp;$B13,'LISTE JOUEURS'!$P:$U,4,0),500))</f>
        <v/>
      </c>
      <c r="J13" s="514" t="str">
        <f>IF(B13="","",IFERROR(VLOOKUP($B$6&amp;$B13,'LISTE JOUEURS'!$P:$U,5,0),""))</f>
        <v/>
      </c>
      <c r="K13" s="533"/>
      <c r="L13" s="321"/>
      <c r="M13" s="306"/>
      <c r="N13" s="391"/>
      <c r="O13" s="532"/>
      <c r="P13" s="322"/>
      <c r="Q13" s="308" t="str">
        <f>IF(P13="","",IFERROR(VLOOKUP($N$6&amp;$P13,'LISTE JOUEURS'!$P:$S,2,0),""))&amp; " "&amp;IF(P13="","",IFERROR(VLOOKUP($N$6&amp;$P13,'LISTE JOUEURS'!$P:$S,3,0),""))</f>
        <v xml:space="preserve"> </v>
      </c>
      <c r="R13" s="309"/>
      <c r="S13" s="309"/>
      <c r="T13" s="309"/>
      <c r="U13" s="306"/>
      <c r="V13" s="306"/>
      <c r="W13" s="306"/>
      <c r="X13" s="320" t="str">
        <f>IF(P13="","",IFERROR(VLOOKUP($N$6&amp;$P13,'LISTE JOUEURS'!$P:$U,4,0),500))</f>
        <v/>
      </c>
      <c r="Y13" s="514" t="str">
        <f>IF(P13="","",IFERROR(VLOOKUP($N$6&amp;$P13,'LISTE JOUEURS'!$P:$U,5,0),""))</f>
        <v/>
      </c>
      <c r="Z13" s="516"/>
      <c r="AA13" s="310"/>
      <c r="AC13" s="27" t="s">
        <v>420</v>
      </c>
      <c r="BP13" s="29" t="s">
        <v>32</v>
      </c>
      <c r="BQ13" s="30" t="str">
        <f>'JEUNES (2)'!$D$2</f>
        <v/>
      </c>
      <c r="BR13" s="31">
        <f>IFERROR(IF(L18&gt;0,VLOOKUP(B6&amp;B11,'LISTE JOUEURS'!$P:$U,6,0),VLOOKUP(N6&amp;P11,'LISTE JOUEURS'!$P:$U,6,0)),0)</f>
        <v>0</v>
      </c>
      <c r="BS13" t="e">
        <f>+_xlfn.XLOOKUP(BR13,'LISTE JOUEURS'!$U:$U,'LISTE JOUEURS'!$Q:$Q)&amp;" "&amp;_xlfn.XLOOKUP(BR13,'LISTE JOUEURS'!$U:$U,'LISTE JOUEURS'!$R:$R)</f>
        <v>#N/A</v>
      </c>
    </row>
    <row r="14" spans="1:97" ht="16" customHeight="1" thickTop="1" x14ac:dyDescent="0.2">
      <c r="A14" s="27"/>
      <c r="C14" s="27"/>
      <c r="P14" s="27"/>
      <c r="Q14" s="27"/>
      <c r="R14" s="27"/>
      <c r="S14" s="27"/>
      <c r="T14" s="27"/>
      <c r="AC14" s="79" t="s">
        <v>419</v>
      </c>
      <c r="BM14" s="3"/>
      <c r="BN14" s="4"/>
      <c r="BP14" s="29" t="s">
        <v>33</v>
      </c>
      <c r="BQ14" s="30" t="str">
        <f>'JEUNES (2)'!$D$2</f>
        <v/>
      </c>
      <c r="BR14" s="31">
        <f>IFERROR(IF(L18=0,VLOOKUP(B6&amp;B11,'LISTE JOUEURS'!$P:$U,6,0),VLOOKUP(N6&amp;P11,'LISTE JOUEURS'!$P:$U,6,0)),0)</f>
        <v>0</v>
      </c>
      <c r="BS14" t="e">
        <f>+_xlfn.XLOOKUP(BR14,'LISTE JOUEURS'!$U:$U,'LISTE JOUEURS'!$Q:$Q)&amp;" "&amp;_xlfn.XLOOKUP(BR14,'LISTE JOUEURS'!$U:$U,'LISTE JOUEURS'!$R:$R)</f>
        <v>#N/A</v>
      </c>
    </row>
    <row r="15" spans="1:97" ht="16" customHeight="1" thickBot="1" x14ac:dyDescent="0.25">
      <c r="A15" s="27"/>
      <c r="B15" s="27"/>
      <c r="C15" s="27"/>
      <c r="F15" s="43"/>
      <c r="G15" s="45"/>
      <c r="H15" s="45"/>
      <c r="J15" s="27" t="s">
        <v>1622</v>
      </c>
      <c r="P15" s="27"/>
      <c r="Q15" s="27"/>
      <c r="R15" s="27"/>
      <c r="S15" s="27"/>
      <c r="T15" s="27"/>
      <c r="BN15" s="25"/>
      <c r="BP15" s="29" t="s">
        <v>32</v>
      </c>
      <c r="BQ15" s="30" t="str">
        <f>'JEUNES (2)'!$D$2</f>
        <v/>
      </c>
      <c r="BR15" s="31">
        <f>IFERROR(IF(L19&gt;0,VLOOKUP(B6&amp;B11,'LISTE JOUEURS'!$P:$U,6,0),VLOOKUP(N6&amp;P10,'LISTE JOUEURS'!$P:$U,6,0)),0)</f>
        <v>0</v>
      </c>
      <c r="BS15" t="e">
        <f>+_xlfn.XLOOKUP(BR15,'LISTE JOUEURS'!$U:$U,'LISTE JOUEURS'!$Q:$Q)&amp;" "&amp;_xlfn.XLOOKUP(BR15,'LISTE JOUEURS'!$U:$U,'LISTE JOUEURS'!$R:$R)</f>
        <v>#N/A</v>
      </c>
    </row>
    <row r="16" spans="1:97" ht="16" customHeight="1" thickTop="1" x14ac:dyDescent="0.25">
      <c r="A16" s="70" t="s">
        <v>12</v>
      </c>
      <c r="B16" s="72" t="s">
        <v>13</v>
      </c>
      <c r="C16" s="72" t="s">
        <v>14</v>
      </c>
      <c r="D16" s="72" t="s">
        <v>15</v>
      </c>
      <c r="E16" s="72" t="s">
        <v>16</v>
      </c>
      <c r="F16" s="97" t="str">
        <f>B6&amp;" "&amp;F6</f>
        <v xml:space="preserve"> </v>
      </c>
      <c r="G16" s="59"/>
      <c r="H16" s="59"/>
      <c r="I16" s="59"/>
      <c r="J16" s="59"/>
      <c r="K16" s="59"/>
      <c r="L16" s="71" t="s">
        <v>388</v>
      </c>
      <c r="M16" s="59"/>
      <c r="N16" s="71" t="s">
        <v>389</v>
      </c>
      <c r="O16" s="97" t="str">
        <f>N6&amp;" "&amp;R6</f>
        <v xml:space="preserve"> </v>
      </c>
      <c r="P16" s="97"/>
      <c r="Q16" s="97"/>
      <c r="R16" s="57"/>
      <c r="S16" s="57"/>
      <c r="T16" s="57"/>
      <c r="U16" s="99" t="s">
        <v>371</v>
      </c>
      <c r="V16" s="59"/>
      <c r="W16" s="59"/>
      <c r="X16" s="59"/>
      <c r="Y16" s="59"/>
      <c r="Z16" s="59"/>
      <c r="AA16" s="60"/>
      <c r="AC16" s="126" t="s">
        <v>158</v>
      </c>
      <c r="AD16" t="s">
        <v>150</v>
      </c>
      <c r="AI16" t="s">
        <v>997</v>
      </c>
      <c r="AJ16" t="s">
        <v>998</v>
      </c>
      <c r="AK16" t="s">
        <v>999</v>
      </c>
      <c r="AL16" t="s">
        <v>1000</v>
      </c>
      <c r="AM16" t="s">
        <v>1001</v>
      </c>
      <c r="AN16" t="s">
        <v>997</v>
      </c>
      <c r="AO16" t="s">
        <v>998</v>
      </c>
      <c r="AP16" t="s">
        <v>999</v>
      </c>
      <c r="AQ16" t="s">
        <v>1000</v>
      </c>
      <c r="AR16" t="s">
        <v>1001</v>
      </c>
      <c r="AS16" t="s">
        <v>997</v>
      </c>
      <c r="AT16" t="s">
        <v>998</v>
      </c>
      <c r="AU16" t="s">
        <v>999</v>
      </c>
      <c r="AV16" t="s">
        <v>1000</v>
      </c>
      <c r="AW16" t="s">
        <v>1001</v>
      </c>
      <c r="BN16" s="25"/>
      <c r="BP16" s="29" t="s">
        <v>33</v>
      </c>
      <c r="BQ16" s="30" t="str">
        <f>'JEUNES (2)'!$D$2</f>
        <v/>
      </c>
      <c r="BR16" s="31">
        <f>IFERROR(IF(L19=0,VLOOKUP(B6&amp;B11,'LISTE JOUEURS'!$P:$U,6,0),VLOOKUP(N6&amp;P10,'LISTE JOUEURS'!$P:$U,6,0)),0)</f>
        <v>0</v>
      </c>
      <c r="BS16" t="e">
        <f>+_xlfn.XLOOKUP(BR16,'LISTE JOUEURS'!$U:$U,'LISTE JOUEURS'!$Q:$Q)&amp;" "&amp;_xlfn.XLOOKUP(BR16,'LISTE JOUEURS'!$U:$U,'LISTE JOUEURS'!$R:$R)</f>
        <v>#N/A</v>
      </c>
    </row>
    <row r="17" spans="1:71" ht="25" customHeight="1" x14ac:dyDescent="0.2">
      <c r="A17" s="323"/>
      <c r="B17" s="324"/>
      <c r="C17" s="324"/>
      <c r="D17" s="324"/>
      <c r="E17" s="324"/>
      <c r="F17" s="293" t="str">
        <f>C10</f>
        <v xml:space="preserve"> </v>
      </c>
      <c r="G17" s="292"/>
      <c r="H17" s="292"/>
      <c r="I17" s="292"/>
      <c r="J17" s="292"/>
      <c r="K17" s="292"/>
      <c r="L17" s="325" t="str">
        <f>IF(ISNUMBER(A17),IF(OR(COUNTIF(A17:E17,"&gt;=0")&gt;3,COUNTIF(A17:E17,"&lt;0")&gt;3),"XXX",IF((COUNTIF(A17:E17,"&gt;=0")-COUNTIF(A17:E17,"&lt;0"))&lt;0,0,IF($I$3="SuperDiv",1,1))),IF(OR(RIGHT(F17,4)="W.O.",A17=-88,A17=-99),0,IF(OR(RIGHT(O17,4)="W.O.",A17=99,A17=88),IF($I$3="SuperDiv",1,1),"")))</f>
        <v/>
      </c>
      <c r="M17" s="326" t="s">
        <v>8</v>
      </c>
      <c r="N17" s="325" t="str">
        <f>IF(AND(ISNUMBER(A17),ISNUMBER(L17)),IF($I$3="SuperDiv",1-L17,1-L17),IF(O17="Forfait W.O.",0,IF(F17="Forfait W.O.",IF($I$3="SuperDiv",1,4),"")))</f>
        <v/>
      </c>
      <c r="O17" s="293" t="str">
        <f>+Q10</f>
        <v xml:space="preserve"> </v>
      </c>
      <c r="P17" s="292"/>
      <c r="Q17" s="292"/>
      <c r="R17" s="292"/>
      <c r="S17" s="292"/>
      <c r="T17" s="292"/>
      <c r="U17" s="327" t="str">
        <f>IF(OR(COUNTIF(A17:E17,"&gt;=0")&gt;3,COUNTIF(A17:E17,"&lt;0")&gt;3),"Sets mal notés. Refaire la saisie svp",IF(ABS(A17)=99,"Abandon avant le début de la partie",IF(ABS(A17)=88,"Abandon en cours de partie"," ")))</f>
        <v xml:space="preserve"> </v>
      </c>
      <c r="V17" s="293"/>
      <c r="W17" s="293"/>
      <c r="X17" s="293"/>
      <c r="Y17" s="293"/>
      <c r="Z17" s="293"/>
      <c r="AA17" s="296"/>
      <c r="AI17">
        <f t="shared" ref="AI17:AM21" si="0">IF(A17&gt;0,1,IF(A17&lt;0,-1,0))</f>
        <v>0</v>
      </c>
      <c r="AJ17">
        <f t="shared" si="0"/>
        <v>0</v>
      </c>
      <c r="AK17">
        <f t="shared" si="0"/>
        <v>0</v>
      </c>
      <c r="AL17">
        <f t="shared" si="0"/>
        <v>0</v>
      </c>
      <c r="AM17">
        <f t="shared" si="0"/>
        <v>0</v>
      </c>
      <c r="AN17" s="3">
        <f>IF(AND(A17&gt;0,A17&lt;10),11,IF(AND(A17&gt;0,A17&gt;9),A17+2,IF(AND(A17&lt;0,A17&gt;-10),-11,IF(AND(A17&lt;0,A17&lt;-9),A17-2,0))))</f>
        <v>0</v>
      </c>
      <c r="AO17" s="3">
        <f t="shared" ref="AO17:AR21" si="1">IF(AND(B17&gt;0,B17&lt;10),11,IF(AND(B17&gt;0,B17&gt;9),B17+2,IF(AND(B17&lt;0,B17&gt;-10),-11,IF(AND(B17&lt;0,B17&lt;-9),B17-2,0))))</f>
        <v>0</v>
      </c>
      <c r="AP17" s="3">
        <f t="shared" si="1"/>
        <v>0</v>
      </c>
      <c r="AQ17" s="3">
        <f t="shared" si="1"/>
        <v>0</v>
      </c>
      <c r="AR17" s="3">
        <f t="shared" si="1"/>
        <v>0</v>
      </c>
      <c r="AS17" s="202">
        <f>-A17</f>
        <v>0</v>
      </c>
      <c r="AT17" s="202">
        <f t="shared" ref="AT17:AW21" si="2">-B17</f>
        <v>0</v>
      </c>
      <c r="AU17" s="202">
        <f t="shared" si="2"/>
        <v>0</v>
      </c>
      <c r="AV17" s="202">
        <f t="shared" si="2"/>
        <v>0</v>
      </c>
      <c r="AW17" s="202">
        <f t="shared" si="2"/>
        <v>0</v>
      </c>
      <c r="AX17"/>
      <c r="AY17"/>
      <c r="AZ17"/>
      <c r="BA17"/>
      <c r="BB17"/>
      <c r="BC17"/>
      <c r="BD17"/>
      <c r="BE17"/>
      <c r="BF17"/>
      <c r="BG17"/>
      <c r="BP17" s="29" t="s">
        <v>32</v>
      </c>
      <c r="BQ17" s="30" t="str">
        <f>'JEUNES (2)'!$D$2</f>
        <v/>
      </c>
      <c r="BR17" s="31">
        <f>IFERROR(IF(L20&gt;0,VLOOKUP(B6&amp;B10,'LISTE JOUEURS'!$P:$U,6,0),VLOOKUP(N6&amp;P11,'LISTE JOUEURS'!$P:$U,6,0)),0)</f>
        <v>0</v>
      </c>
      <c r="BS17" t="e">
        <f>+_xlfn.XLOOKUP(BR17,'LISTE JOUEURS'!$U:$U,'LISTE JOUEURS'!$Q:$Q)&amp;" "&amp;_xlfn.XLOOKUP(BR17,'LISTE JOUEURS'!$U:$U,'LISTE JOUEURS'!$R:$R)</f>
        <v>#N/A</v>
      </c>
    </row>
    <row r="18" spans="1:71" ht="17" thickBot="1" x14ac:dyDescent="0.25">
      <c r="A18" s="328"/>
      <c r="B18" s="329"/>
      <c r="C18" s="329"/>
      <c r="D18" s="329"/>
      <c r="E18" s="330"/>
      <c r="F18" s="302" t="str">
        <f>C11</f>
        <v xml:space="preserve"> </v>
      </c>
      <c r="G18" s="302"/>
      <c r="H18" s="302"/>
      <c r="I18" s="302"/>
      <c r="J18" s="302"/>
      <c r="K18" s="302"/>
      <c r="L18" s="331" t="str">
        <f t="shared" ref="L18:L21" si="3">IF(ISNUMBER(A18),IF(OR(COUNTIF(A18:E18,"&gt;=0")&gt;3,COUNTIF(A18:E18,"&lt;0")&gt;3),"XXX",IF((COUNTIF(A18:E18,"&gt;=0")-COUNTIF(A18:E18,"&lt;0"))&lt;0,0,IF($I$3="SuperDiv",1,1))),IF(OR(RIGHT(F18,4)="W.O.",A18=-88,A18=-99),0,IF(OR(RIGHT(O18,4)="W.O.",A18=99,A18=88),IF($I$3="SuperDiv",1,1),"")))</f>
        <v/>
      </c>
      <c r="M18" s="332" t="s">
        <v>9</v>
      </c>
      <c r="N18" s="331" t="str">
        <f t="shared" ref="N18:N21" si="4">IF(AND(ISNUMBER(A18),ISNUMBER(L18)),IF($I$3="SuperDiv",1-L18,1-L18),IF(O18="Forfait W.O.",0,IF(F18="Forfait W.O.",IF($I$3="SuperDiv",1,4),"")))</f>
        <v/>
      </c>
      <c r="O18" s="302" t="str">
        <f>+Q11</f>
        <v xml:space="preserve"> </v>
      </c>
      <c r="P18" s="299"/>
      <c r="Q18" s="299"/>
      <c r="R18" s="299"/>
      <c r="S18" s="299"/>
      <c r="T18" s="299"/>
      <c r="U18" s="333" t="str">
        <f>IF(OR(COUNTIF(A18:E18,"&gt;=0")&gt;3,COUNTIF(A18:E18,"&lt;0")&gt;3),"Sets mal notés. Refaire la saisie svp",IF(ABS(A18)=99,"Abandon avant le début de la partie",IF(ABS(A18)=88,"Abandon en cours de partie"," ")))</f>
        <v xml:space="preserve"> </v>
      </c>
      <c r="V18" s="299"/>
      <c r="W18" s="302"/>
      <c r="X18" s="302"/>
      <c r="Y18" s="302"/>
      <c r="Z18" s="302"/>
      <c r="AA18" s="303"/>
      <c r="AC18" s="125" t="s">
        <v>25</v>
      </c>
      <c r="AD18" s="125" t="s">
        <v>26</v>
      </c>
      <c r="AE18" s="125" t="s">
        <v>370</v>
      </c>
      <c r="AF18" s="173" t="s">
        <v>489</v>
      </c>
      <c r="AI18">
        <f t="shared" si="0"/>
        <v>0</v>
      </c>
      <c r="AJ18">
        <f t="shared" si="0"/>
        <v>0</v>
      </c>
      <c r="AK18">
        <f t="shared" si="0"/>
        <v>0</v>
      </c>
      <c r="AL18">
        <f t="shared" si="0"/>
        <v>0</v>
      </c>
      <c r="AM18">
        <f t="shared" si="0"/>
        <v>0</v>
      </c>
      <c r="AN18" s="3">
        <f t="shared" ref="AN18:AN21" si="5">IF(AND(A18&gt;0,A18&lt;10),11,IF(AND(A18&gt;0,A18&gt;9),A18+2,IF(AND(A18&lt;0,A18&gt;-10),-11,IF(AND(A18&lt;0,A18&lt;-9),A18-2,0))))</f>
        <v>0</v>
      </c>
      <c r="AO18" s="3">
        <f t="shared" si="1"/>
        <v>0</v>
      </c>
      <c r="AP18" s="3">
        <f t="shared" si="1"/>
        <v>0</v>
      </c>
      <c r="AQ18" s="3">
        <f t="shared" si="1"/>
        <v>0</v>
      </c>
      <c r="AR18" s="3">
        <f t="shared" si="1"/>
        <v>0</v>
      </c>
      <c r="AS18" s="202">
        <f t="shared" ref="AS18:AS21" si="6">-A18</f>
        <v>0</v>
      </c>
      <c r="AT18" s="202">
        <f t="shared" si="2"/>
        <v>0</v>
      </c>
      <c r="AU18" s="202">
        <f t="shared" si="2"/>
        <v>0</v>
      </c>
      <c r="AV18" s="202">
        <f t="shared" si="2"/>
        <v>0</v>
      </c>
      <c r="AW18" s="202">
        <f t="shared" si="2"/>
        <v>0</v>
      </c>
      <c r="AX18"/>
      <c r="AY18"/>
      <c r="AZ18"/>
      <c r="BA18"/>
      <c r="BB18"/>
      <c r="BC18"/>
      <c r="BD18"/>
      <c r="BE18"/>
      <c r="BF18"/>
      <c r="BG18"/>
      <c r="BP18" s="32" t="s">
        <v>33</v>
      </c>
      <c r="BQ18" s="33" t="str">
        <f>'JEUNES (2)'!$D$2</f>
        <v/>
      </c>
      <c r="BR18" s="34">
        <f>IFERROR(IF(L20=0,VLOOKUP(B6&amp;B10,'LISTE JOUEURS'!$P:$U,6,0),VLOOKUP(N6&amp;P11,'LISTE JOUEURS'!$P:$U,6,0)),0)</f>
        <v>0</v>
      </c>
      <c r="BS18" t="e">
        <f>+_xlfn.XLOOKUP(BR18,'LISTE JOUEURS'!$U:$U,'LISTE JOUEURS'!$Q:$Q)&amp;" "&amp;_xlfn.XLOOKUP(BR18,'LISTE JOUEURS'!$U:$U,'LISTE JOUEURS'!$R:$R)</f>
        <v>#N/A</v>
      </c>
    </row>
    <row r="19" spans="1:71" x14ac:dyDescent="0.2">
      <c r="A19" s="328"/>
      <c r="B19" s="329"/>
      <c r="C19" s="329"/>
      <c r="D19" s="329"/>
      <c r="E19" s="330"/>
      <c r="F19" s="302" t="str">
        <f>C11</f>
        <v xml:space="preserve"> </v>
      </c>
      <c r="G19" s="302"/>
      <c r="H19" s="302"/>
      <c r="I19" s="302"/>
      <c r="J19" s="302"/>
      <c r="K19" s="302"/>
      <c r="L19" s="331" t="str">
        <f t="shared" si="3"/>
        <v/>
      </c>
      <c r="M19" s="332" t="s">
        <v>10</v>
      </c>
      <c r="N19" s="331" t="str">
        <f t="shared" si="4"/>
        <v/>
      </c>
      <c r="O19" s="302" t="str">
        <f>+Q10</f>
        <v xml:space="preserve"> </v>
      </c>
      <c r="P19" s="299"/>
      <c r="Q19" s="299"/>
      <c r="R19" s="299"/>
      <c r="S19" s="299"/>
      <c r="T19" s="299"/>
      <c r="U19" s="333" t="str">
        <f>IF(OR(COUNTIF(A19:E19,"&gt;=0")&gt;3,COUNTIF(A19:E19,"&lt;0")&gt;3),"Sets mal notés. Refaire la saisie svp",IF(ABS(A19)=99,"Abandon avant le début de la partie",IF(ABS(A19)=88,"Abandon en cours de partie"," ")))</f>
        <v xml:space="preserve"> </v>
      </c>
      <c r="V19" s="302"/>
      <c r="W19" s="302"/>
      <c r="X19" s="302"/>
      <c r="Y19" s="302"/>
      <c r="Z19" s="302"/>
      <c r="AA19" s="303"/>
      <c r="AC19" s="3" t="s">
        <v>633</v>
      </c>
      <c r="AD19" t="s">
        <v>296</v>
      </c>
      <c r="AE19" s="9">
        <v>4</v>
      </c>
      <c r="AF19" t="s">
        <v>1856</v>
      </c>
      <c r="AI19">
        <f t="shared" si="0"/>
        <v>0</v>
      </c>
      <c r="AJ19">
        <f t="shared" si="0"/>
        <v>0</v>
      </c>
      <c r="AK19">
        <f t="shared" si="0"/>
        <v>0</v>
      </c>
      <c r="AL19">
        <f t="shared" si="0"/>
        <v>0</v>
      </c>
      <c r="AM19">
        <f t="shared" si="0"/>
        <v>0</v>
      </c>
      <c r="AN19" s="3">
        <f t="shared" si="5"/>
        <v>0</v>
      </c>
      <c r="AO19" s="3">
        <f t="shared" si="1"/>
        <v>0</v>
      </c>
      <c r="AP19" s="3">
        <f t="shared" si="1"/>
        <v>0</v>
      </c>
      <c r="AQ19" s="3">
        <f t="shared" si="1"/>
        <v>0</v>
      </c>
      <c r="AR19" s="3">
        <f t="shared" si="1"/>
        <v>0</v>
      </c>
      <c r="AS19" s="202">
        <f t="shared" si="6"/>
        <v>0</v>
      </c>
      <c r="AT19" s="202">
        <f t="shared" si="2"/>
        <v>0</v>
      </c>
      <c r="AU19" s="202">
        <f t="shared" si="2"/>
        <v>0</v>
      </c>
      <c r="AV19" s="202">
        <f t="shared" si="2"/>
        <v>0</v>
      </c>
      <c r="AW19" s="202">
        <f t="shared" si="2"/>
        <v>0</v>
      </c>
      <c r="AX19"/>
      <c r="AY19"/>
      <c r="AZ19"/>
      <c r="BA19"/>
      <c r="BB19"/>
      <c r="BC19"/>
      <c r="BD19"/>
      <c r="BE19"/>
      <c r="BF19"/>
      <c r="BG19"/>
    </row>
    <row r="20" spans="1:71" x14ac:dyDescent="0.2">
      <c r="A20" s="328"/>
      <c r="B20" s="329"/>
      <c r="C20" s="329"/>
      <c r="D20" s="329"/>
      <c r="E20" s="330"/>
      <c r="F20" s="302" t="str">
        <f>C10</f>
        <v xml:space="preserve"> </v>
      </c>
      <c r="G20" s="302"/>
      <c r="H20" s="302"/>
      <c r="I20" s="302"/>
      <c r="J20" s="302"/>
      <c r="K20" s="302"/>
      <c r="L20" s="331" t="str">
        <f t="shared" si="3"/>
        <v/>
      </c>
      <c r="M20" s="332" t="s">
        <v>11</v>
      </c>
      <c r="N20" s="331" t="str">
        <f t="shared" si="4"/>
        <v/>
      </c>
      <c r="O20" s="302" t="str">
        <f>+Q11</f>
        <v xml:space="preserve"> </v>
      </c>
      <c r="P20" s="299"/>
      <c r="Q20" s="299"/>
      <c r="R20" s="299"/>
      <c r="S20" s="299"/>
      <c r="T20" s="299"/>
      <c r="U20" s="333" t="str">
        <f>IF(OR(COUNTIF(A20:E20,"&gt;=0")&gt;3,COUNTIF(A20:E20,"&lt;0")&gt;3),"Sets mal notés. Refaire la saisie svp",IF(ABS(A20)=99,"Abandon avant le début de la partie",IF(ABS(A20)=88,"Abandon en cours de partie"," ")))</f>
        <v xml:space="preserve"> </v>
      </c>
      <c r="V20" s="302"/>
      <c r="W20" s="302"/>
      <c r="X20" s="302"/>
      <c r="Y20" s="302"/>
      <c r="Z20" s="302"/>
      <c r="AA20" s="303"/>
      <c r="AC20" s="3" t="s">
        <v>794</v>
      </c>
      <c r="AD20" t="s">
        <v>641</v>
      </c>
      <c r="AE20" s="9">
        <v>1</v>
      </c>
      <c r="AF20" t="s">
        <v>1643</v>
      </c>
      <c r="AI20">
        <f t="shared" si="0"/>
        <v>0</v>
      </c>
      <c r="AJ20">
        <f t="shared" si="0"/>
        <v>0</v>
      </c>
      <c r="AK20">
        <f t="shared" si="0"/>
        <v>0</v>
      </c>
      <c r="AL20">
        <f t="shared" si="0"/>
        <v>0</v>
      </c>
      <c r="AM20">
        <f t="shared" si="0"/>
        <v>0</v>
      </c>
      <c r="AN20" s="3">
        <f t="shared" si="5"/>
        <v>0</v>
      </c>
      <c r="AO20" s="3">
        <f t="shared" si="1"/>
        <v>0</v>
      </c>
      <c r="AP20" s="3">
        <f t="shared" si="1"/>
        <v>0</v>
      </c>
      <c r="AQ20" s="3">
        <f t="shared" si="1"/>
        <v>0</v>
      </c>
      <c r="AR20" s="3">
        <f t="shared" si="1"/>
        <v>0</v>
      </c>
      <c r="AS20" s="202">
        <f t="shared" si="6"/>
        <v>0</v>
      </c>
      <c r="AT20" s="202">
        <f t="shared" si="2"/>
        <v>0</v>
      </c>
      <c r="AU20" s="202">
        <f t="shared" si="2"/>
        <v>0</v>
      </c>
      <c r="AV20" s="202">
        <f t="shared" si="2"/>
        <v>0</v>
      </c>
      <c r="AW20" s="202">
        <f t="shared" si="2"/>
        <v>0</v>
      </c>
      <c r="AX20"/>
      <c r="AY20"/>
      <c r="AZ20"/>
      <c r="BA20"/>
      <c r="BB20"/>
      <c r="BC20"/>
      <c r="BD20"/>
      <c r="BE20"/>
      <c r="BF20"/>
      <c r="BG20"/>
    </row>
    <row r="21" spans="1:71" ht="17" thickBot="1" x14ac:dyDescent="0.25">
      <c r="A21" s="334"/>
      <c r="B21" s="335"/>
      <c r="C21" s="335"/>
      <c r="D21" s="335"/>
      <c r="E21" s="335"/>
      <c r="F21" s="306" t="str">
        <f>IF(OR(F17="Forfait W.O.",F18="Forfait W.O."),B6&amp;" "&amp;F6&amp;" W.O.",B6&amp;" "&amp;F6)</f>
        <v xml:space="preserve"> </v>
      </c>
      <c r="G21" s="306"/>
      <c r="H21" s="306"/>
      <c r="I21" s="306"/>
      <c r="J21" s="306"/>
      <c r="K21" s="306"/>
      <c r="L21" s="336" t="str">
        <f t="shared" si="3"/>
        <v/>
      </c>
      <c r="M21" s="337" t="s">
        <v>21</v>
      </c>
      <c r="N21" s="336" t="str">
        <f t="shared" si="4"/>
        <v/>
      </c>
      <c r="O21" s="306" t="str">
        <f>IF(OR(O17="Forfait W.O.",O18="Forfait W.O."),N6&amp;" "&amp;R6&amp;" W.O.",N6&amp;" "&amp;R6)</f>
        <v xml:space="preserve"> </v>
      </c>
      <c r="P21" s="309"/>
      <c r="Q21" s="309"/>
      <c r="R21" s="309"/>
      <c r="S21" s="309"/>
      <c r="T21" s="309"/>
      <c r="U21" s="338" t="str">
        <f>IF(OR(COUNTIF(A21:E21,"&gt;=0")&gt;3,COUNTIF(A21:E21,"&lt;0")&gt;3),"Sets mal notés. Refaire la saisie svp",IF(ABS(A21)=99,"Abandon avant le début de la partie",IF(ABS(A21)=88,"Abandon en cours de partie"," ")))</f>
        <v xml:space="preserve"> </v>
      </c>
      <c r="V21" s="306"/>
      <c r="W21" s="306"/>
      <c r="X21" s="306"/>
      <c r="Y21" s="306"/>
      <c r="Z21" s="306"/>
      <c r="AA21" s="310"/>
      <c r="AC21" s="3" t="s">
        <v>493</v>
      </c>
      <c r="AD21" t="s">
        <v>312</v>
      </c>
      <c r="AE21" s="9">
        <v>2</v>
      </c>
      <c r="AF21" t="s">
        <v>1856</v>
      </c>
      <c r="AI21">
        <f t="shared" si="0"/>
        <v>0</v>
      </c>
      <c r="AJ21">
        <f t="shared" si="0"/>
        <v>0</v>
      </c>
      <c r="AK21">
        <f t="shared" si="0"/>
        <v>0</v>
      </c>
      <c r="AL21">
        <f t="shared" si="0"/>
        <v>0</v>
      </c>
      <c r="AM21">
        <f t="shared" si="0"/>
        <v>0</v>
      </c>
      <c r="AN21" s="3">
        <f t="shared" si="5"/>
        <v>0</v>
      </c>
      <c r="AO21" s="3">
        <f t="shared" si="1"/>
        <v>0</v>
      </c>
      <c r="AP21" s="3">
        <f t="shared" si="1"/>
        <v>0</v>
      </c>
      <c r="AQ21" s="3">
        <f t="shared" si="1"/>
        <v>0</v>
      </c>
      <c r="AR21" s="3">
        <f t="shared" si="1"/>
        <v>0</v>
      </c>
      <c r="AS21" s="202">
        <f t="shared" si="6"/>
        <v>0</v>
      </c>
      <c r="AT21" s="202">
        <f t="shared" si="2"/>
        <v>0</v>
      </c>
      <c r="AU21" s="202">
        <f t="shared" si="2"/>
        <v>0</v>
      </c>
      <c r="AV21" s="202">
        <f t="shared" si="2"/>
        <v>0</v>
      </c>
      <c r="AW21" s="202">
        <f t="shared" si="2"/>
        <v>0</v>
      </c>
      <c r="AX21"/>
      <c r="AY21"/>
      <c r="AZ21"/>
      <c r="BA21"/>
      <c r="BB21"/>
      <c r="BC21"/>
      <c r="BD21"/>
      <c r="BE21"/>
      <c r="BF21"/>
      <c r="BG21"/>
      <c r="BM21" t="s">
        <v>380</v>
      </c>
      <c r="BN21" t="s">
        <v>251</v>
      </c>
    </row>
    <row r="22" spans="1:71" ht="17" thickTop="1" x14ac:dyDescent="0.2">
      <c r="P22" s="27"/>
      <c r="Q22" s="27"/>
      <c r="R22" s="27"/>
      <c r="S22" s="27"/>
      <c r="T22" s="27"/>
      <c r="AC22" s="3" t="s">
        <v>1751</v>
      </c>
      <c r="AD22" t="s">
        <v>292</v>
      </c>
      <c r="AE22" s="9">
        <v>3</v>
      </c>
      <c r="AF22" t="s">
        <v>1643</v>
      </c>
      <c r="AL22" s="3"/>
      <c r="AM22" s="3"/>
      <c r="AX22"/>
      <c r="AY22"/>
      <c r="AZ22"/>
      <c r="BA22"/>
      <c r="BB22"/>
      <c r="BC22"/>
      <c r="BD22"/>
      <c r="BE22"/>
      <c r="BF22"/>
      <c r="BG22"/>
      <c r="BN22" t="s">
        <v>252</v>
      </c>
    </row>
    <row r="23" spans="1:71" ht="19" x14ac:dyDescent="0.25">
      <c r="I23" s="113" t="s">
        <v>390</v>
      </c>
      <c r="J23" s="103"/>
      <c r="K23" s="103"/>
      <c r="L23" s="104">
        <f>SUM(L17:L21)</f>
        <v>0</v>
      </c>
      <c r="M23" s="105"/>
      <c r="N23" s="106">
        <f>SUM(N17:N21)</f>
        <v>0</v>
      </c>
      <c r="P23" s="27"/>
      <c r="Q23" s="27"/>
      <c r="R23" s="27"/>
      <c r="S23" s="27"/>
      <c r="T23" s="27"/>
      <c r="AC23" s="3" t="s">
        <v>1948</v>
      </c>
      <c r="AD23" t="s">
        <v>661</v>
      </c>
      <c r="AE23" s="9">
        <v>5</v>
      </c>
      <c r="AF23" t="s">
        <v>1643</v>
      </c>
      <c r="AL23" s="3"/>
      <c r="AM23" s="3"/>
      <c r="AX23"/>
      <c r="AY23"/>
      <c r="AZ23"/>
      <c r="BA23"/>
      <c r="BB23"/>
      <c r="BC23"/>
      <c r="BD23"/>
      <c r="BE23"/>
      <c r="BF23"/>
      <c r="BG23"/>
    </row>
    <row r="24" spans="1:71" ht="17" thickBot="1" x14ac:dyDescent="0.25">
      <c r="A24" s="27"/>
      <c r="B24" s="27"/>
      <c r="C24" s="27"/>
      <c r="D24" s="27"/>
      <c r="P24" s="27"/>
      <c r="Q24" s="27"/>
      <c r="R24" s="27"/>
      <c r="S24" s="27"/>
      <c r="T24" s="27"/>
      <c r="V24" s="27"/>
      <c r="W24" s="27"/>
      <c r="AC24" s="3" t="s">
        <v>1168</v>
      </c>
      <c r="AD24" t="s">
        <v>1944</v>
      </c>
      <c r="AE24" s="9">
        <v>6</v>
      </c>
      <c r="AF24" t="s">
        <v>1643</v>
      </c>
      <c r="AL24" s="3"/>
      <c r="AM24" s="3"/>
      <c r="AX24"/>
      <c r="AY24"/>
      <c r="AZ24"/>
      <c r="BA24"/>
      <c r="BB24"/>
      <c r="BC24"/>
      <c r="BD24"/>
      <c r="BE24"/>
      <c r="BF24"/>
      <c r="BG24"/>
    </row>
    <row r="25" spans="1:71" ht="20" thickTop="1" x14ac:dyDescent="0.25">
      <c r="A25" s="494" t="s">
        <v>397</v>
      </c>
      <c r="B25" s="495"/>
      <c r="C25" s="495"/>
      <c r="D25" s="495"/>
      <c r="E25" s="495"/>
      <c r="F25" s="495"/>
      <c r="G25" s="495"/>
      <c r="H25" s="495"/>
      <c r="I25" s="495"/>
      <c r="J25" s="518"/>
      <c r="K25" s="518"/>
      <c r="L25" s="518"/>
      <c r="M25" s="518"/>
      <c r="N25" s="518"/>
      <c r="O25" s="518"/>
      <c r="P25" s="518"/>
      <c r="Q25" s="518"/>
      <c r="R25" s="518"/>
      <c r="S25" s="495"/>
      <c r="T25" s="495"/>
      <c r="U25" s="495"/>
      <c r="V25" s="495"/>
      <c r="W25" s="495"/>
      <c r="X25" s="495"/>
      <c r="Y25" s="495"/>
      <c r="Z25" s="495"/>
      <c r="AA25" s="496"/>
      <c r="AC25" s="3" t="s">
        <v>610</v>
      </c>
      <c r="AD25" t="s">
        <v>309</v>
      </c>
      <c r="AE25" s="9">
        <v>7</v>
      </c>
      <c r="AF25" t="s">
        <v>1856</v>
      </c>
      <c r="AL25" s="3"/>
      <c r="AM25" s="3"/>
      <c r="AU25"/>
      <c r="AV25"/>
      <c r="AW25"/>
      <c r="AX25"/>
      <c r="AY25"/>
      <c r="AZ25"/>
      <c r="BA25"/>
      <c r="BB25"/>
      <c r="BC25"/>
      <c r="BD25"/>
      <c r="BE25"/>
      <c r="BF25"/>
      <c r="BG25"/>
    </row>
    <row r="26" spans="1:71" ht="19" x14ac:dyDescent="0.25">
      <c r="A26" s="112" t="str">
        <f>IF((L23 )&gt;(N23),B6&amp;" "&amp;F6,IF((L23)=(+N23),B6&amp;" "&amp;F6,N6&amp;" "&amp;R6))</f>
        <v xml:space="preserve"> </v>
      </c>
      <c r="B26" s="27"/>
      <c r="C26" s="27"/>
      <c r="D26" s="27"/>
      <c r="E26" s="76" t="str">
        <f>IF(A29=H29,"à égalité avec ","BAT")</f>
        <v>BAT</v>
      </c>
      <c r="F26" s="27"/>
      <c r="G26" s="27"/>
      <c r="H26" s="198" t="str">
        <f>IF((L23 )&lt;(N23),B6&amp;" "&amp;F6,IF((L23)=(N23),N6&amp;" "&amp;R6,N6&amp;" "&amp;R6))</f>
        <v xml:space="preserve"> </v>
      </c>
      <c r="I26" s="27"/>
      <c r="J26" s="81" t="str">
        <f>"Cap. "&amp;O16</f>
        <v xml:space="preserve">Cap.  </v>
      </c>
      <c r="K26" s="84"/>
      <c r="L26" s="368"/>
      <c r="M26" s="368"/>
      <c r="N26" s="497"/>
      <c r="O26" s="498"/>
      <c r="P26" s="498"/>
      <c r="Q26" s="498"/>
      <c r="R26" s="499"/>
      <c r="S26" s="369" t="s">
        <v>127</v>
      </c>
      <c r="T26" s="89"/>
      <c r="Z26" s="27"/>
      <c r="AA26" s="107"/>
      <c r="AC26" s="3" t="s">
        <v>1942</v>
      </c>
      <c r="AD26" t="s">
        <v>1271</v>
      </c>
      <c r="AE26" s="9">
        <v>8</v>
      </c>
      <c r="AF26" t="s">
        <v>1643</v>
      </c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</row>
    <row r="27" spans="1:71" ht="19" x14ac:dyDescent="0.25">
      <c r="A27" s="80" t="str">
        <f>IF((L23)&gt;(N23),(L23)&amp;" points",(N23)&amp;" points")</f>
        <v>0 points</v>
      </c>
      <c r="B27" s="27"/>
      <c r="C27" s="27"/>
      <c r="D27" s="27"/>
      <c r="E27" s="27"/>
      <c r="H27" s="198" t="str">
        <f>IF((L33+L23 )&gt;(N33+N23),(N33+N23)&amp;" points",(L33+L23)&amp;" points")</f>
        <v>0 points</v>
      </c>
      <c r="J27" s="201" t="str">
        <f>"Cap. "&amp;F16</f>
        <v xml:space="preserve">Cap.  </v>
      </c>
      <c r="L27" s="27"/>
      <c r="M27" s="27"/>
      <c r="N27" s="449"/>
      <c r="O27" s="436"/>
      <c r="P27" s="436"/>
      <c r="Q27" s="436"/>
      <c r="R27" s="500"/>
      <c r="S27" s="449"/>
      <c r="T27" s="436"/>
      <c r="U27" s="436"/>
      <c r="V27" s="436"/>
      <c r="W27" s="436"/>
      <c r="Z27" s="27"/>
      <c r="AA27" s="107"/>
      <c r="AC27" s="3" t="s">
        <v>656</v>
      </c>
      <c r="AD27" t="s">
        <v>662</v>
      </c>
      <c r="AE27" s="9">
        <v>9</v>
      </c>
      <c r="AF27" t="s">
        <v>1643</v>
      </c>
      <c r="AS27" s="202"/>
      <c r="AT27" s="202"/>
      <c r="AU27" s="202"/>
      <c r="AV27" s="202"/>
      <c r="AW27" s="202"/>
      <c r="AX27"/>
      <c r="AY27"/>
      <c r="AZ27"/>
      <c r="BA27"/>
      <c r="BB27"/>
      <c r="BC27"/>
      <c r="BD27"/>
      <c r="BE27"/>
      <c r="BF27"/>
      <c r="BG27"/>
    </row>
    <row r="28" spans="1:71" ht="19" x14ac:dyDescent="0.25">
      <c r="A28" s="461" t="str">
        <f>VLOOKUP(A26,$AJ$33:$AL$34,2,0)&amp;" Sets à "&amp;VLOOKUP(H26,$AJ$33:$AL$34,2,0)</f>
        <v>0 Sets à 0</v>
      </c>
      <c r="B28" s="462"/>
      <c r="C28" s="462"/>
      <c r="D28" s="462"/>
      <c r="E28" s="462"/>
      <c r="F28" s="462"/>
      <c r="G28" s="462"/>
      <c r="H28" s="462"/>
      <c r="I28" s="462"/>
      <c r="J28" s="100"/>
      <c r="R28" s="69"/>
      <c r="AA28" s="55"/>
      <c r="AC28" s="3" t="s">
        <v>749</v>
      </c>
      <c r="AD28" t="s">
        <v>302</v>
      </c>
      <c r="AE28" s="9">
        <v>10</v>
      </c>
      <c r="AF28" t="s">
        <v>1643</v>
      </c>
      <c r="AS28" s="202"/>
      <c r="AT28" s="202"/>
      <c r="AU28" s="202"/>
      <c r="AV28" s="202"/>
      <c r="AW28" s="202"/>
      <c r="AX28"/>
      <c r="AY28"/>
      <c r="AZ28"/>
      <c r="BA28"/>
      <c r="BB28"/>
      <c r="BC28"/>
      <c r="BD28"/>
      <c r="BE28"/>
      <c r="BF28"/>
      <c r="BG28"/>
      <c r="BM28" t="s">
        <v>384</v>
      </c>
      <c r="BN28">
        <v>1</v>
      </c>
    </row>
    <row r="29" spans="1:71" ht="20" thickBot="1" x14ac:dyDescent="0.3">
      <c r="A29" s="463" t="str">
        <f>ROUND(VLOOKUP(A26,$AJ$33:$AL$34,3,0),0)&amp;" points à "&amp;ROUND(VLOOKUP(H26,$AJ$33:$AL$34,3,0),0)</f>
        <v>0 points à 0</v>
      </c>
      <c r="B29" s="464"/>
      <c r="C29" s="464"/>
      <c r="D29" s="464"/>
      <c r="E29" s="464"/>
      <c r="F29" s="464"/>
      <c r="G29" s="464"/>
      <c r="H29" s="464"/>
      <c r="I29" s="464"/>
      <c r="J29" s="101"/>
      <c r="K29" s="5"/>
      <c r="L29" s="5"/>
      <c r="M29" s="5"/>
      <c r="N29" s="5"/>
      <c r="O29" s="5"/>
      <c r="P29" s="5"/>
      <c r="Q29" s="5"/>
      <c r="R29" s="98"/>
      <c r="S29" s="5"/>
      <c r="T29" s="5"/>
      <c r="U29" s="5"/>
      <c r="V29" s="5"/>
      <c r="W29" s="5"/>
      <c r="X29" s="5"/>
      <c r="Y29" s="5"/>
      <c r="Z29" s="44"/>
      <c r="AA29" s="108"/>
      <c r="AC29" s="3" t="s">
        <v>503</v>
      </c>
      <c r="AD29" t="s">
        <v>326</v>
      </c>
      <c r="AE29" s="9">
        <v>11</v>
      </c>
      <c r="AF29" t="s">
        <v>1643</v>
      </c>
      <c r="AS29" s="202"/>
      <c r="AT29" s="202"/>
      <c r="AU29" s="202"/>
      <c r="AV29" s="202"/>
      <c r="AW29" s="202"/>
      <c r="AX29"/>
      <c r="AY29"/>
      <c r="AZ29"/>
      <c r="BA29"/>
      <c r="BB29"/>
      <c r="BC29"/>
      <c r="BD29"/>
      <c r="BE29"/>
      <c r="BF29"/>
      <c r="BG29"/>
      <c r="BN29">
        <v>2</v>
      </c>
    </row>
    <row r="30" spans="1:71" ht="17" thickTop="1" x14ac:dyDescent="0.2">
      <c r="A30" s="27"/>
      <c r="B30" s="27"/>
      <c r="C30" s="27"/>
      <c r="D30" s="27"/>
      <c r="E30" s="27"/>
      <c r="P30" s="27"/>
      <c r="Q30" s="27"/>
      <c r="R30" s="27"/>
      <c r="S30" s="27"/>
      <c r="T30" s="27"/>
      <c r="AC30" s="3" t="s">
        <v>1251</v>
      </c>
      <c r="AD30" t="s">
        <v>615</v>
      </c>
      <c r="AE30" s="9">
        <v>12</v>
      </c>
      <c r="AF30" t="s">
        <v>1643</v>
      </c>
      <c r="AS30" s="202"/>
      <c r="AT30" s="202"/>
      <c r="AU30" s="202"/>
      <c r="AV30" s="202"/>
      <c r="AW30" s="202"/>
      <c r="BN30">
        <v>3</v>
      </c>
    </row>
    <row r="31" spans="1:71" x14ac:dyDescent="0.2">
      <c r="A31" s="45" t="s">
        <v>442</v>
      </c>
      <c r="B31" s="45"/>
      <c r="C31" s="45"/>
      <c r="D31" s="45"/>
      <c r="E31" s="45"/>
      <c r="F31" s="45"/>
      <c r="G31" s="45"/>
      <c r="Q31" s="166" t="s">
        <v>440</v>
      </c>
      <c r="AC31" s="3"/>
      <c r="AD31" t="s">
        <v>1339</v>
      </c>
      <c r="AE31" s="9">
        <v>13</v>
      </c>
      <c r="AF31" t="s">
        <v>1643</v>
      </c>
      <c r="AS31" s="202"/>
      <c r="AT31" s="202"/>
      <c r="AU31" s="202"/>
      <c r="AV31" s="202"/>
      <c r="AW31" s="202"/>
      <c r="BN31">
        <v>4</v>
      </c>
    </row>
    <row r="32" spans="1:71" ht="21" x14ac:dyDescent="0.25">
      <c r="A32" s="45" t="s">
        <v>244</v>
      </c>
      <c r="F32" s="174" t="str">
        <f>IFERROR(VLOOKUP(N6,'LISTING CLUB'!A:C,3,0),"")</f>
        <v/>
      </c>
      <c r="K32" s="9" t="s">
        <v>401</v>
      </c>
      <c r="M32" s="27"/>
      <c r="N32" s="27"/>
      <c r="O32" s="123" t="str">
        <f>"JJ"&amp;R3&amp;"-"&amp;I3&amp;"-"&amp;N3&amp;"-"&amp;F16&amp;"-"&amp;O16</f>
        <v xml:space="preserve">JJ--- - </v>
      </c>
      <c r="AC32" s="3" t="s">
        <v>594</v>
      </c>
      <c r="AD32" t="s">
        <v>326</v>
      </c>
      <c r="AE32" s="9">
        <v>14</v>
      </c>
      <c r="AF32" t="s">
        <v>1643</v>
      </c>
      <c r="AU32"/>
      <c r="AV32"/>
      <c r="AW32"/>
      <c r="BN32">
        <v>5</v>
      </c>
    </row>
    <row r="33" spans="1:66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3"/>
      <c r="AD33" t="s">
        <v>278</v>
      </c>
      <c r="AE33" s="9">
        <v>15</v>
      </c>
      <c r="AF33" t="s">
        <v>1643</v>
      </c>
      <c r="AJ33" t="str">
        <f>$B$6&amp;" "&amp;$F$6</f>
        <v xml:space="preserve"> </v>
      </c>
      <c r="AK33">
        <f>COUNTIF(AH17:AL21,1)</f>
        <v>0</v>
      </c>
      <c r="AL33">
        <f>SUMIF(AM17:AV21,"&gt;0",AM17:AV21)</f>
        <v>0</v>
      </c>
      <c r="BN33">
        <v>6</v>
      </c>
    </row>
    <row r="34" spans="1:66" ht="21" x14ac:dyDescent="0.25">
      <c r="A34" s="452" t="s">
        <v>378</v>
      </c>
      <c r="B34" s="453"/>
      <c r="C34" s="453"/>
      <c r="D34" s="453"/>
      <c r="E34" s="453"/>
      <c r="F34" s="453"/>
      <c r="G34" s="453"/>
      <c r="H34" s="453"/>
      <c r="I34" s="453"/>
      <c r="J34" s="453"/>
      <c r="K34" s="453"/>
      <c r="L34" s="453"/>
      <c r="M34" s="453"/>
      <c r="N34" s="453"/>
      <c r="O34" s="453"/>
      <c r="P34" s="453"/>
      <c r="Q34" s="453"/>
      <c r="R34" s="453"/>
      <c r="S34" s="453"/>
      <c r="T34" s="453"/>
      <c r="U34" s="453"/>
      <c r="V34" s="453"/>
      <c r="W34" s="453"/>
      <c r="X34" s="453"/>
      <c r="Y34" s="453"/>
      <c r="Z34" s="453"/>
      <c r="AA34" s="454"/>
      <c r="AC34" s="3" t="s">
        <v>1760</v>
      </c>
      <c r="AD34" t="s">
        <v>518</v>
      </c>
      <c r="AE34" s="9">
        <v>16</v>
      </c>
      <c r="AF34" t="s">
        <v>1643</v>
      </c>
      <c r="AJ34" t="str">
        <f>$N$6&amp;" "&amp;$R$6</f>
        <v xml:space="preserve"> </v>
      </c>
      <c r="AK34">
        <f>COUNTIF(AH17:AL21,-1)</f>
        <v>0</v>
      </c>
      <c r="AL34">
        <f>-SUMIF(AM17:AV21,"&lt;0",AM17:AV21)</f>
        <v>0</v>
      </c>
    </row>
    <row r="35" spans="1:66" x14ac:dyDescent="0.2">
      <c r="C35" s="27"/>
      <c r="D35" s="27"/>
      <c r="E35" s="27"/>
      <c r="M35" s="27"/>
      <c r="AB35" s="27"/>
      <c r="AC35" s="3" t="s">
        <v>1259</v>
      </c>
      <c r="AD35" t="s">
        <v>1343</v>
      </c>
      <c r="AE35" s="9">
        <v>17</v>
      </c>
      <c r="AF35" t="s">
        <v>1856</v>
      </c>
      <c r="BM35" t="s">
        <v>28</v>
      </c>
      <c r="BN35" t="s">
        <v>385</v>
      </c>
    </row>
    <row r="36" spans="1:66" x14ac:dyDescent="0.2">
      <c r="B36" s="117"/>
      <c r="C36" s="118"/>
      <c r="D36" s="118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C36" s="3" t="s">
        <v>1262</v>
      </c>
      <c r="AD36" t="s">
        <v>1346</v>
      </c>
      <c r="AE36" s="9">
        <v>18</v>
      </c>
      <c r="AF36" t="s">
        <v>1856</v>
      </c>
      <c r="BN36" t="s">
        <v>386</v>
      </c>
    </row>
    <row r="37" spans="1:66" x14ac:dyDescent="0.2">
      <c r="B37" s="117"/>
      <c r="C37" s="118"/>
      <c r="D37" s="118"/>
      <c r="E37" s="117"/>
      <c r="F37" s="117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C37" s="3" t="s">
        <v>1248</v>
      </c>
      <c r="AD37" t="s">
        <v>1336</v>
      </c>
      <c r="AE37" s="9">
        <v>19</v>
      </c>
      <c r="AF37" t="s">
        <v>1856</v>
      </c>
    </row>
    <row r="38" spans="1:66" x14ac:dyDescent="0.2">
      <c r="B38" s="117"/>
      <c r="C38" s="118"/>
      <c r="D38" s="118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AC38" s="3" t="s">
        <v>851</v>
      </c>
      <c r="AD38" t="s">
        <v>875</v>
      </c>
      <c r="AE38" s="9">
        <v>20</v>
      </c>
      <c r="AF38" t="s">
        <v>1856</v>
      </c>
    </row>
    <row r="39" spans="1:66" x14ac:dyDescent="0.2">
      <c r="B39" s="117"/>
      <c r="C39" s="118"/>
      <c r="D39" s="118"/>
      <c r="E39" s="117"/>
      <c r="F39" s="117"/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AC39" s="3" t="s">
        <v>935</v>
      </c>
      <c r="AD39" t="s">
        <v>949</v>
      </c>
      <c r="AE39" s="9">
        <v>21</v>
      </c>
      <c r="AF39" t="s">
        <v>1643</v>
      </c>
      <c r="BI39" s="3" t="s">
        <v>154</v>
      </c>
      <c r="BJ39" s="3" t="str">
        <f>C10</f>
        <v xml:space="preserve"> </v>
      </c>
      <c r="BK39" s="3"/>
      <c r="BL39" s="3"/>
      <c r="BM39" s="3"/>
    </row>
    <row r="40" spans="1:66" x14ac:dyDescent="0.2">
      <c r="B40" s="117"/>
      <c r="C40" s="119"/>
      <c r="D40" s="119"/>
      <c r="E40" s="117"/>
      <c r="F40" s="117"/>
      <c r="G40" s="117"/>
      <c r="H40" s="117"/>
      <c r="I40" s="117"/>
      <c r="J40" s="117"/>
      <c r="K40" s="117"/>
      <c r="L40" s="117"/>
      <c r="M40" s="117"/>
      <c r="N40" s="117"/>
      <c r="O40" s="117"/>
      <c r="P40" s="120"/>
      <c r="Q40" s="120"/>
      <c r="R40" s="117"/>
      <c r="S40" s="117"/>
      <c r="T40" s="117"/>
      <c r="U40" s="117"/>
      <c r="V40" s="117"/>
      <c r="W40" s="117"/>
      <c r="X40" s="117"/>
      <c r="Y40" s="117"/>
      <c r="Z40" s="117"/>
      <c r="AC40" s="3" t="s">
        <v>1257</v>
      </c>
      <c r="AD40" t="s">
        <v>1342</v>
      </c>
      <c r="AE40" s="9">
        <v>22</v>
      </c>
      <c r="AF40" t="s">
        <v>1856</v>
      </c>
      <c r="BI40" s="3" t="s">
        <v>154</v>
      </c>
      <c r="BJ40" s="3" t="str">
        <f>C11</f>
        <v xml:space="preserve"> </v>
      </c>
      <c r="BK40" s="3"/>
      <c r="BL40" s="3"/>
      <c r="BM40" s="3"/>
    </row>
    <row r="41" spans="1:66" x14ac:dyDescent="0.2">
      <c r="B41" s="117"/>
      <c r="C41" s="121"/>
      <c r="D41" s="117"/>
      <c r="E41" s="117"/>
      <c r="F41" s="117"/>
      <c r="G41" s="117"/>
      <c r="H41" s="117"/>
      <c r="I41" s="117"/>
      <c r="J41" s="117"/>
      <c r="K41" s="117"/>
      <c r="L41" s="117"/>
      <c r="M41" s="117"/>
      <c r="N41" s="117"/>
      <c r="O41" s="117"/>
      <c r="P41" s="117"/>
      <c r="Q41" s="117"/>
      <c r="R41" s="117"/>
      <c r="S41" s="117"/>
      <c r="T41" s="117"/>
      <c r="U41" s="117"/>
      <c r="V41" s="117"/>
      <c r="W41" s="117"/>
      <c r="X41" s="117"/>
      <c r="Y41" s="117"/>
      <c r="Z41" s="117"/>
      <c r="AC41" s="3" t="s">
        <v>111</v>
      </c>
      <c r="AD41" t="s">
        <v>353</v>
      </c>
      <c r="AE41" s="9">
        <v>23</v>
      </c>
      <c r="AF41" t="s">
        <v>1643</v>
      </c>
      <c r="BI41" s="3" t="s">
        <v>155</v>
      </c>
      <c r="BJ41" s="3" t="str">
        <f>+Q10</f>
        <v xml:space="preserve"> </v>
      </c>
      <c r="BK41" s="3"/>
      <c r="BL41" s="3"/>
      <c r="BM41" s="3"/>
    </row>
    <row r="42" spans="1:66" x14ac:dyDescent="0.2">
      <c r="B42" s="117"/>
      <c r="C42" s="117"/>
      <c r="D42" s="117"/>
      <c r="E42" s="117"/>
      <c r="F42" s="117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117"/>
      <c r="U42" s="117"/>
      <c r="V42" s="117"/>
      <c r="W42" s="117"/>
      <c r="X42" s="117"/>
      <c r="Y42" s="117"/>
      <c r="Z42" s="117"/>
      <c r="AC42" s="3" t="s">
        <v>1623</v>
      </c>
      <c r="AD42" t="s">
        <v>292</v>
      </c>
      <c r="AE42" s="9">
        <v>24</v>
      </c>
      <c r="AF42" t="s">
        <v>1643</v>
      </c>
      <c r="BI42" s="3" t="s">
        <v>155</v>
      </c>
      <c r="BJ42" s="3" t="str">
        <f>+Q11</f>
        <v xml:space="preserve"> </v>
      </c>
      <c r="BK42" s="3"/>
      <c r="BL42" s="3"/>
      <c r="BM42" s="3"/>
    </row>
    <row r="43" spans="1:66" x14ac:dyDescent="0.2">
      <c r="B43" s="117"/>
      <c r="C43" s="117"/>
      <c r="D43" s="117"/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22"/>
      <c r="P43" s="117"/>
      <c r="Q43" s="117"/>
      <c r="R43" s="117"/>
      <c r="S43" s="117"/>
      <c r="T43" s="117"/>
      <c r="U43" s="117"/>
      <c r="V43" s="117"/>
      <c r="W43" s="117"/>
      <c r="X43" s="117"/>
      <c r="Y43" s="117"/>
      <c r="Z43" s="117"/>
      <c r="AC43" s="3" t="s">
        <v>713</v>
      </c>
      <c r="AD43" t="s">
        <v>317</v>
      </c>
      <c r="AE43" s="9">
        <v>25</v>
      </c>
      <c r="AF43" t="s">
        <v>1643</v>
      </c>
    </row>
    <row r="44" spans="1:66" x14ac:dyDescent="0.2">
      <c r="B44" s="117"/>
      <c r="C44" s="117"/>
      <c r="D44" s="117"/>
      <c r="E44" s="117"/>
      <c r="F44" s="117"/>
      <c r="G44" s="117"/>
      <c r="H44" s="117"/>
      <c r="I44" s="117"/>
      <c r="J44" s="117"/>
      <c r="K44" s="117"/>
      <c r="L44" s="117"/>
      <c r="M44" s="117"/>
      <c r="N44" s="117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C44" s="3"/>
      <c r="AD44" t="s">
        <v>1094</v>
      </c>
      <c r="AE44" s="9">
        <v>26</v>
      </c>
      <c r="AF44" t="s">
        <v>1643</v>
      </c>
      <c r="BK44" s="3"/>
      <c r="BL44" s="3"/>
      <c r="BM44" s="3"/>
    </row>
    <row r="45" spans="1:66" ht="24" x14ac:dyDescent="0.3">
      <c r="G45" s="78"/>
      <c r="H45" s="78"/>
      <c r="I45" s="78"/>
      <c r="J45" s="78"/>
      <c r="K45" s="78"/>
      <c r="L45" s="78"/>
      <c r="M45" s="78"/>
      <c r="N45" s="78"/>
      <c r="AC45" s="3" t="s">
        <v>1250</v>
      </c>
      <c r="AD45" t="s">
        <v>1338</v>
      </c>
      <c r="AE45" s="9">
        <v>27</v>
      </c>
      <c r="AF45" t="s">
        <v>1643</v>
      </c>
      <c r="BI45" s="3"/>
      <c r="BJ45" s="3"/>
      <c r="BK45" s="3"/>
      <c r="BL45" s="3"/>
      <c r="BM45" s="3"/>
    </row>
    <row r="46" spans="1:66" ht="24" x14ac:dyDescent="0.3">
      <c r="A46" s="452" t="s">
        <v>379</v>
      </c>
      <c r="B46" s="453"/>
      <c r="C46" s="453"/>
      <c r="D46" s="453"/>
      <c r="E46" s="453"/>
      <c r="F46" s="453"/>
      <c r="G46" s="453"/>
      <c r="H46" s="453"/>
      <c r="I46" s="453"/>
      <c r="J46" s="453"/>
      <c r="K46" s="453"/>
      <c r="L46" s="453"/>
      <c r="M46" s="453"/>
      <c r="N46" s="453"/>
      <c r="O46" s="453"/>
      <c r="P46" s="453"/>
      <c r="Q46" s="453"/>
      <c r="R46" s="453"/>
      <c r="S46" s="453"/>
      <c r="T46" s="453"/>
      <c r="U46" s="453"/>
      <c r="V46" s="453"/>
      <c r="W46" s="453"/>
      <c r="X46" s="453"/>
      <c r="Y46" s="453"/>
      <c r="Z46" s="453"/>
      <c r="AA46" s="454"/>
      <c r="AC46" s="3"/>
      <c r="AD46" t="s">
        <v>353</v>
      </c>
      <c r="AE46" s="9">
        <v>28</v>
      </c>
      <c r="AF46" t="s">
        <v>1643</v>
      </c>
      <c r="BI46" s="3"/>
      <c r="BJ46" s="3"/>
      <c r="BK46" s="3"/>
      <c r="BL46" s="3"/>
      <c r="BM46" s="3"/>
    </row>
    <row r="47" spans="1:66" x14ac:dyDescent="0.2">
      <c r="AC47" s="3" t="s">
        <v>108</v>
      </c>
      <c r="AD47" t="s">
        <v>298</v>
      </c>
      <c r="AE47" s="9">
        <v>29</v>
      </c>
      <c r="AF47" t="s">
        <v>1643</v>
      </c>
      <c r="BK47" s="3"/>
      <c r="BL47" s="3"/>
      <c r="BM47" s="3"/>
    </row>
    <row r="48" spans="1:66" x14ac:dyDescent="0.2">
      <c r="B48" s="117"/>
      <c r="C48" s="118"/>
      <c r="D48" s="118"/>
      <c r="E48" s="117"/>
      <c r="F48" s="117"/>
      <c r="G48" s="117"/>
      <c r="H48" s="117"/>
      <c r="I48" s="117"/>
      <c r="J48" s="117"/>
      <c r="K48" s="117"/>
      <c r="L48" s="117"/>
      <c r="M48" s="117"/>
      <c r="N48" s="117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C48" s="3" t="s">
        <v>798</v>
      </c>
      <c r="AD48" t="s">
        <v>804</v>
      </c>
      <c r="AE48" s="9">
        <v>30</v>
      </c>
      <c r="AF48" t="s">
        <v>1643</v>
      </c>
      <c r="BI48" s="3"/>
    </row>
    <row r="49" spans="1:42" x14ac:dyDescent="0.2">
      <c r="B49" s="117"/>
      <c r="C49" s="118"/>
      <c r="D49" s="118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C49" s="3" t="s">
        <v>750</v>
      </c>
      <c r="AD49" t="s">
        <v>319</v>
      </c>
      <c r="AE49" s="9">
        <v>31</v>
      </c>
      <c r="AF49" t="s">
        <v>1856</v>
      </c>
      <c r="AN49"/>
      <c r="AO49"/>
      <c r="AP49"/>
    </row>
    <row r="50" spans="1:42" x14ac:dyDescent="0.2">
      <c r="B50" s="117"/>
      <c r="C50" s="118"/>
      <c r="D50" s="118"/>
      <c r="E50" s="117"/>
      <c r="F50" s="117"/>
      <c r="G50" s="117"/>
      <c r="H50" s="117"/>
      <c r="I50" s="117"/>
      <c r="J50" s="117"/>
      <c r="K50" s="117"/>
      <c r="L50" s="117"/>
      <c r="M50" s="117"/>
      <c r="N50" s="117"/>
      <c r="O50" s="117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C50" s="3" t="s">
        <v>1056</v>
      </c>
      <c r="AD50" t="s">
        <v>1057</v>
      </c>
      <c r="AE50" s="9">
        <v>32</v>
      </c>
      <c r="AF50" t="s">
        <v>1643</v>
      </c>
      <c r="AN50"/>
      <c r="AO50"/>
      <c r="AP50"/>
    </row>
    <row r="51" spans="1:42" x14ac:dyDescent="0.2">
      <c r="B51" s="117"/>
      <c r="C51" s="118"/>
      <c r="D51" s="118"/>
      <c r="E51" s="117"/>
      <c r="F51" s="117"/>
      <c r="G51" s="117"/>
      <c r="H51" s="117"/>
      <c r="I51" s="117"/>
      <c r="J51" s="117"/>
      <c r="K51" s="117"/>
      <c r="L51" s="117"/>
      <c r="M51" s="117"/>
      <c r="N51" s="117"/>
      <c r="O51" s="117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C51" s="3" t="s">
        <v>634</v>
      </c>
      <c r="AD51" t="s">
        <v>448</v>
      </c>
      <c r="AE51" s="9">
        <v>33</v>
      </c>
      <c r="AF51" t="s">
        <v>1643</v>
      </c>
      <c r="AN51"/>
      <c r="AO51"/>
      <c r="AP51"/>
    </row>
    <row r="52" spans="1:42" x14ac:dyDescent="0.2">
      <c r="B52" s="117"/>
      <c r="C52" s="119"/>
      <c r="D52" s="119"/>
      <c r="E52" s="117"/>
      <c r="F52" s="117"/>
      <c r="G52" s="117"/>
      <c r="H52" s="117"/>
      <c r="I52" s="117"/>
      <c r="J52" s="117"/>
      <c r="K52" s="117"/>
      <c r="L52" s="117"/>
      <c r="M52" s="117"/>
      <c r="N52" s="117"/>
      <c r="O52" s="117"/>
      <c r="P52" s="120"/>
      <c r="Q52" s="120"/>
      <c r="R52" s="117"/>
      <c r="S52" s="117"/>
      <c r="T52" s="117"/>
      <c r="U52" s="117"/>
      <c r="V52" s="117"/>
      <c r="W52" s="117"/>
      <c r="X52" s="117"/>
      <c r="Y52" s="117"/>
      <c r="Z52" s="117"/>
      <c r="AC52" s="3" t="s">
        <v>751</v>
      </c>
      <c r="AD52" t="s">
        <v>769</v>
      </c>
      <c r="AE52" s="9">
        <v>34</v>
      </c>
      <c r="AF52" t="s">
        <v>1643</v>
      </c>
      <c r="AN52"/>
      <c r="AO52"/>
      <c r="AP52"/>
    </row>
    <row r="53" spans="1:42" x14ac:dyDescent="0.2">
      <c r="B53" s="117"/>
      <c r="C53" s="121"/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C53" s="3" t="s">
        <v>651</v>
      </c>
      <c r="AD53" t="s">
        <v>1941</v>
      </c>
      <c r="AE53" s="9">
        <v>36</v>
      </c>
      <c r="AF53" t="s">
        <v>1643</v>
      </c>
      <c r="AN53"/>
      <c r="AO53"/>
      <c r="AP53"/>
    </row>
    <row r="54" spans="1:42" x14ac:dyDescent="0.2">
      <c r="B54" s="117"/>
      <c r="C54" s="117"/>
      <c r="D54" s="117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C54" s="3"/>
      <c r="AD54" t="s">
        <v>860</v>
      </c>
      <c r="AE54" s="9">
        <v>35</v>
      </c>
      <c r="AF54" t="s">
        <v>1643</v>
      </c>
      <c r="AN54"/>
      <c r="AO54"/>
      <c r="AP54"/>
    </row>
    <row r="55" spans="1:42" x14ac:dyDescent="0.2">
      <c r="B55" s="117"/>
      <c r="C55" s="117"/>
      <c r="D55" s="117"/>
      <c r="E55" s="117"/>
      <c r="F55" s="117"/>
      <c r="G55" s="117"/>
      <c r="H55" s="117"/>
      <c r="I55" s="117"/>
      <c r="J55" s="117"/>
      <c r="K55" s="117"/>
      <c r="L55" s="117"/>
      <c r="M55" s="117"/>
      <c r="N55" s="117"/>
      <c r="O55" s="122"/>
      <c r="P55" s="117"/>
      <c r="Q55" s="117"/>
      <c r="R55" s="117"/>
      <c r="S55" s="117"/>
      <c r="T55" s="117"/>
      <c r="U55" s="117"/>
      <c r="V55" s="117"/>
      <c r="W55" s="117"/>
      <c r="X55" s="117"/>
      <c r="Y55" s="117"/>
      <c r="Z55" s="117"/>
      <c r="AC55" s="3" t="s">
        <v>1538</v>
      </c>
      <c r="AD55" t="s">
        <v>1556</v>
      </c>
      <c r="AE55" s="9">
        <v>37</v>
      </c>
      <c r="AF55" t="s">
        <v>1643</v>
      </c>
    </row>
    <row r="56" spans="1:42" x14ac:dyDescent="0.2">
      <c r="B56" s="117"/>
      <c r="C56" s="117"/>
      <c r="D56" s="117"/>
      <c r="E56" s="117"/>
      <c r="F56" s="117"/>
      <c r="G56" s="117"/>
      <c r="H56" s="117"/>
      <c r="I56" s="117"/>
      <c r="J56" s="117"/>
      <c r="K56" s="117"/>
      <c r="L56" s="117"/>
      <c r="M56" s="117"/>
      <c r="N56" s="117"/>
      <c r="O56" s="117"/>
      <c r="P56" s="117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C56" s="3" t="s">
        <v>1540</v>
      </c>
      <c r="AD56" t="s">
        <v>1558</v>
      </c>
      <c r="AE56" s="9">
        <v>38</v>
      </c>
      <c r="AF56" t="s">
        <v>1856</v>
      </c>
    </row>
    <row r="57" spans="1:42" x14ac:dyDescent="0.2">
      <c r="G57" s="1"/>
      <c r="H57" s="1"/>
      <c r="I57" s="1"/>
      <c r="J57" s="1"/>
      <c r="K57" s="1"/>
      <c r="L57" s="1"/>
      <c r="M57" s="1"/>
      <c r="N57" s="1"/>
      <c r="AC57" s="3" t="s">
        <v>112</v>
      </c>
      <c r="AD57" t="s">
        <v>357</v>
      </c>
      <c r="AE57" s="9">
        <v>39</v>
      </c>
      <c r="AF57" t="s">
        <v>1643</v>
      </c>
    </row>
    <row r="58" spans="1:42" ht="24" x14ac:dyDescent="0.3">
      <c r="A58" s="86" t="s">
        <v>121</v>
      </c>
      <c r="AC58" s="3" t="s">
        <v>1249</v>
      </c>
      <c r="AD58" t="s">
        <v>321</v>
      </c>
      <c r="AE58" s="9">
        <v>40</v>
      </c>
      <c r="AF58" t="s">
        <v>1856</v>
      </c>
    </row>
    <row r="59" spans="1:42" x14ac:dyDescent="0.2">
      <c r="A59" s="6" t="s">
        <v>157</v>
      </c>
      <c r="AC59" s="3" t="s">
        <v>795</v>
      </c>
      <c r="AD59" t="s">
        <v>800</v>
      </c>
      <c r="AE59" s="9">
        <v>41</v>
      </c>
      <c r="AF59" t="s">
        <v>1856</v>
      </c>
    </row>
    <row r="60" spans="1:42" x14ac:dyDescent="0.2">
      <c r="A60" s="6" t="s">
        <v>122</v>
      </c>
      <c r="AC60" s="3" t="s">
        <v>939</v>
      </c>
      <c r="AD60" t="s">
        <v>868</v>
      </c>
      <c r="AE60" s="9">
        <v>42</v>
      </c>
      <c r="AF60" t="s">
        <v>1643</v>
      </c>
    </row>
    <row r="61" spans="1:42" x14ac:dyDescent="0.2">
      <c r="A61" s="6" t="s">
        <v>126</v>
      </c>
      <c r="AC61" s="3" t="s">
        <v>1949</v>
      </c>
      <c r="AD61" t="s">
        <v>1950</v>
      </c>
      <c r="AE61" s="9">
        <v>43</v>
      </c>
      <c r="AF61" t="s">
        <v>1643</v>
      </c>
    </row>
    <row r="62" spans="1:42" x14ac:dyDescent="0.2">
      <c r="A62" s="6" t="s">
        <v>123</v>
      </c>
      <c r="AC62" s="3" t="s">
        <v>595</v>
      </c>
      <c r="AD62" t="s">
        <v>600</v>
      </c>
      <c r="AE62" s="9">
        <v>44</v>
      </c>
      <c r="AF62" t="s">
        <v>1856</v>
      </c>
    </row>
    <row r="63" spans="1:42" x14ac:dyDescent="0.2">
      <c r="A63" s="6" t="s">
        <v>124</v>
      </c>
      <c r="AC63" s="3" t="s">
        <v>1256</v>
      </c>
      <c r="AD63" t="s">
        <v>1341</v>
      </c>
      <c r="AE63" s="9">
        <v>45</v>
      </c>
      <c r="AF63" t="s">
        <v>1856</v>
      </c>
    </row>
    <row r="64" spans="1:42" x14ac:dyDescent="0.2">
      <c r="A64" s="6" t="s">
        <v>125</v>
      </c>
      <c r="AC64" s="3" t="s">
        <v>1252</v>
      </c>
      <c r="AD64" t="s">
        <v>297</v>
      </c>
      <c r="AE64" s="9">
        <v>46</v>
      </c>
      <c r="AF64" t="s">
        <v>1643</v>
      </c>
    </row>
    <row r="65" spans="7:32" x14ac:dyDescent="0.2">
      <c r="AC65" s="3" t="s">
        <v>752</v>
      </c>
      <c r="AD65" t="s">
        <v>766</v>
      </c>
      <c r="AE65" s="9">
        <v>47</v>
      </c>
      <c r="AF65" t="s">
        <v>1643</v>
      </c>
    </row>
    <row r="66" spans="7:32" x14ac:dyDescent="0.2">
      <c r="AC66" s="3" t="s">
        <v>1939</v>
      </c>
      <c r="AD66" t="s">
        <v>1940</v>
      </c>
      <c r="AE66" s="9">
        <v>48</v>
      </c>
      <c r="AF66" t="s">
        <v>1643</v>
      </c>
    </row>
    <row r="67" spans="7:32" x14ac:dyDescent="0.2">
      <c r="AC67" s="3" t="s">
        <v>635</v>
      </c>
      <c r="AD67" t="s">
        <v>293</v>
      </c>
      <c r="AE67" s="9">
        <v>49</v>
      </c>
      <c r="AF67" t="s">
        <v>1856</v>
      </c>
    </row>
    <row r="68" spans="7:32" x14ac:dyDescent="0.2">
      <c r="AC68" s="3"/>
      <c r="AD68" t="s">
        <v>576</v>
      </c>
      <c r="AE68" s="9">
        <v>50</v>
      </c>
      <c r="AF68" t="s">
        <v>1643</v>
      </c>
    </row>
    <row r="69" spans="7:32" x14ac:dyDescent="0.2">
      <c r="AC69" s="3"/>
      <c r="AD69" t="s">
        <v>585</v>
      </c>
      <c r="AE69" s="9">
        <v>51</v>
      </c>
      <c r="AF69" t="s">
        <v>1643</v>
      </c>
    </row>
    <row r="70" spans="7:32" x14ac:dyDescent="0.2">
      <c r="AC70" s="3" t="s">
        <v>1929</v>
      </c>
      <c r="AD70" t="s">
        <v>1930</v>
      </c>
      <c r="AE70" s="9">
        <v>52</v>
      </c>
      <c r="AF70" t="s">
        <v>1643</v>
      </c>
    </row>
    <row r="71" spans="7:32" x14ac:dyDescent="0.2">
      <c r="AC71" s="3"/>
      <c r="AD71" t="s">
        <v>1931</v>
      </c>
      <c r="AE71" s="9">
        <v>53</v>
      </c>
      <c r="AF71" t="s">
        <v>1643</v>
      </c>
    </row>
    <row r="72" spans="7:32" x14ac:dyDescent="0.2">
      <c r="AC72" s="3" t="s">
        <v>1255</v>
      </c>
      <c r="AD72" t="s">
        <v>575</v>
      </c>
      <c r="AE72" s="9">
        <v>54</v>
      </c>
      <c r="AF72" t="s">
        <v>1643</v>
      </c>
    </row>
    <row r="73" spans="7:32" x14ac:dyDescent="0.2">
      <c r="AC73" s="3" t="s">
        <v>106</v>
      </c>
      <c r="AD73" t="s">
        <v>309</v>
      </c>
      <c r="AE73" s="9">
        <v>56</v>
      </c>
      <c r="AF73" t="s">
        <v>1643</v>
      </c>
    </row>
    <row r="74" spans="7:32" x14ac:dyDescent="0.2">
      <c r="AC74" s="3"/>
      <c r="AD74" t="s">
        <v>1557</v>
      </c>
      <c r="AE74" s="9">
        <v>55</v>
      </c>
      <c r="AF74" t="s">
        <v>1856</v>
      </c>
    </row>
    <row r="75" spans="7:32" x14ac:dyDescent="0.2">
      <c r="AC75" s="3" t="s">
        <v>714</v>
      </c>
      <c r="AD75" t="s">
        <v>986</v>
      </c>
      <c r="AE75" s="9">
        <v>58</v>
      </c>
      <c r="AF75" t="s">
        <v>1643</v>
      </c>
    </row>
    <row r="76" spans="7:32" x14ac:dyDescent="0.2">
      <c r="G76" s="6"/>
      <c r="H76" s="6"/>
      <c r="I76" s="6"/>
      <c r="J76" s="6"/>
      <c r="K76" s="6"/>
      <c r="L76" s="6"/>
      <c r="M76" s="6"/>
      <c r="N76" s="6"/>
      <c r="AC76" s="3"/>
      <c r="AD76" t="s">
        <v>721</v>
      </c>
      <c r="AE76" s="9">
        <v>57</v>
      </c>
      <c r="AF76" t="s">
        <v>1643</v>
      </c>
    </row>
    <row r="77" spans="7:32" x14ac:dyDescent="0.2">
      <c r="AC77" s="3" t="s">
        <v>102</v>
      </c>
      <c r="AD77" t="s">
        <v>310</v>
      </c>
      <c r="AE77" s="9">
        <v>59</v>
      </c>
      <c r="AF77" t="s">
        <v>1643</v>
      </c>
    </row>
    <row r="78" spans="7:32" x14ac:dyDescent="0.2">
      <c r="AC78" s="3" t="s">
        <v>1541</v>
      </c>
      <c r="AD78" t="s">
        <v>1559</v>
      </c>
      <c r="AE78" s="9">
        <v>60</v>
      </c>
      <c r="AF78" t="s">
        <v>1856</v>
      </c>
    </row>
    <row r="79" spans="7:32" x14ac:dyDescent="0.2">
      <c r="AC79" s="3" t="s">
        <v>850</v>
      </c>
      <c r="AD79" t="s">
        <v>874</v>
      </c>
      <c r="AE79" s="9">
        <v>61</v>
      </c>
      <c r="AF79" t="s">
        <v>1643</v>
      </c>
    </row>
    <row r="80" spans="7:32" x14ac:dyDescent="0.2">
      <c r="AC80" s="3" t="s">
        <v>513</v>
      </c>
      <c r="AD80" t="s">
        <v>284</v>
      </c>
      <c r="AE80" s="9">
        <v>62</v>
      </c>
      <c r="AF80" t="s">
        <v>1643</v>
      </c>
    </row>
    <row r="81" spans="29:32" x14ac:dyDescent="0.2">
      <c r="AC81" s="3" t="s">
        <v>1758</v>
      </c>
      <c r="AD81" t="s">
        <v>335</v>
      </c>
      <c r="AE81" s="9">
        <v>63</v>
      </c>
      <c r="AF81" t="s">
        <v>1643</v>
      </c>
    </row>
    <row r="82" spans="29:32" x14ac:dyDescent="0.2">
      <c r="AC82" s="3" t="s">
        <v>683</v>
      </c>
      <c r="AD82" t="s">
        <v>284</v>
      </c>
      <c r="AE82" s="9">
        <v>65</v>
      </c>
      <c r="AF82" t="s">
        <v>1643</v>
      </c>
    </row>
    <row r="83" spans="29:32" x14ac:dyDescent="0.2">
      <c r="AC83" s="3" t="s">
        <v>1531</v>
      </c>
      <c r="AD83" t="s">
        <v>461</v>
      </c>
      <c r="AE83" s="9">
        <v>64</v>
      </c>
      <c r="AF83" t="s">
        <v>1643</v>
      </c>
    </row>
    <row r="84" spans="29:32" x14ac:dyDescent="0.2">
      <c r="AC84" s="3" t="s">
        <v>1937</v>
      </c>
      <c r="AD84" t="s">
        <v>1938</v>
      </c>
      <c r="AE84" s="9">
        <v>66</v>
      </c>
      <c r="AF84" t="s">
        <v>1643</v>
      </c>
    </row>
    <row r="85" spans="29:32" x14ac:dyDescent="0.2">
      <c r="AC85" s="3" t="s">
        <v>1927</v>
      </c>
      <c r="AD85" t="s">
        <v>601</v>
      </c>
      <c r="AE85" s="9">
        <v>68</v>
      </c>
      <c r="AF85" t="s">
        <v>1643</v>
      </c>
    </row>
    <row r="86" spans="29:32" x14ac:dyDescent="0.2">
      <c r="AC86" s="3"/>
      <c r="AD86" t="s">
        <v>1928</v>
      </c>
      <c r="AE86" s="9">
        <v>67</v>
      </c>
      <c r="AF86" t="s">
        <v>1643</v>
      </c>
    </row>
    <row r="87" spans="29:32" x14ac:dyDescent="0.2">
      <c r="AC87" s="3" t="s">
        <v>453</v>
      </c>
      <c r="AD87" t="s">
        <v>307</v>
      </c>
      <c r="AE87" s="9">
        <v>69</v>
      </c>
      <c r="AF87" t="s">
        <v>1643</v>
      </c>
    </row>
    <row r="88" spans="29:32" x14ac:dyDescent="0.2">
      <c r="AC88" s="3" t="s">
        <v>1076</v>
      </c>
      <c r="AD88" t="s">
        <v>804</v>
      </c>
      <c r="AE88" s="9">
        <v>70</v>
      </c>
      <c r="AF88" t="s">
        <v>1856</v>
      </c>
    </row>
    <row r="89" spans="29:32" x14ac:dyDescent="0.2">
      <c r="AC89" s="3" t="s">
        <v>936</v>
      </c>
      <c r="AD89" t="s">
        <v>584</v>
      </c>
      <c r="AE89" s="9">
        <v>71</v>
      </c>
      <c r="AF89" t="s">
        <v>1643</v>
      </c>
    </row>
    <row r="90" spans="29:32" x14ac:dyDescent="0.2">
      <c r="AC90" s="3" t="s">
        <v>1247</v>
      </c>
      <c r="AD90" t="s">
        <v>306</v>
      </c>
      <c r="AE90" s="9">
        <v>72</v>
      </c>
      <c r="AF90" t="s">
        <v>1856</v>
      </c>
    </row>
    <row r="91" spans="29:32" x14ac:dyDescent="0.2">
      <c r="AC91" s="3" t="s">
        <v>797</v>
      </c>
      <c r="AD91" t="s">
        <v>803</v>
      </c>
      <c r="AE91" s="9">
        <v>73</v>
      </c>
      <c r="AF91" t="s">
        <v>1643</v>
      </c>
    </row>
    <row r="92" spans="29:32" x14ac:dyDescent="0.2">
      <c r="AC92" s="3"/>
      <c r="AD92" t="s">
        <v>802</v>
      </c>
      <c r="AE92" s="9">
        <v>74</v>
      </c>
      <c r="AF92" t="s">
        <v>1643</v>
      </c>
    </row>
    <row r="93" spans="29:32" x14ac:dyDescent="0.2">
      <c r="AC93" s="3" t="s">
        <v>828</v>
      </c>
      <c r="AD93" t="s">
        <v>722</v>
      </c>
      <c r="AE93" s="9">
        <v>75</v>
      </c>
      <c r="AF93" t="s">
        <v>1643</v>
      </c>
    </row>
    <row r="94" spans="29:32" x14ac:dyDescent="0.2">
      <c r="AC94" s="3" t="s">
        <v>636</v>
      </c>
      <c r="AD94" t="s">
        <v>293</v>
      </c>
      <c r="AE94" s="9">
        <v>76</v>
      </c>
      <c r="AF94" t="s">
        <v>1643</v>
      </c>
    </row>
    <row r="95" spans="29:32" x14ac:dyDescent="0.2">
      <c r="AC95" s="3" t="s">
        <v>1261</v>
      </c>
      <c r="AD95" t="s">
        <v>1345</v>
      </c>
      <c r="AE95" s="9">
        <v>77</v>
      </c>
      <c r="AF95" t="s">
        <v>1643</v>
      </c>
    </row>
    <row r="96" spans="29:32" x14ac:dyDescent="0.2">
      <c r="AC96" s="3" t="s">
        <v>715</v>
      </c>
      <c r="AD96" t="s">
        <v>292</v>
      </c>
      <c r="AE96" s="9">
        <v>78</v>
      </c>
      <c r="AF96" t="s">
        <v>1643</v>
      </c>
    </row>
    <row r="97" spans="29:32" x14ac:dyDescent="0.2">
      <c r="AC97" s="3" t="s">
        <v>101</v>
      </c>
      <c r="AD97" t="s">
        <v>295</v>
      </c>
      <c r="AE97" s="9">
        <v>79</v>
      </c>
      <c r="AF97" t="s">
        <v>1643</v>
      </c>
    </row>
    <row r="98" spans="29:32" x14ac:dyDescent="0.2">
      <c r="AC98" s="3"/>
      <c r="AD98" t="s">
        <v>1756</v>
      </c>
      <c r="AE98" s="9">
        <v>80</v>
      </c>
      <c r="AF98" t="s">
        <v>1643</v>
      </c>
    </row>
    <row r="99" spans="29:32" x14ac:dyDescent="0.2">
      <c r="AC99" s="3" t="s">
        <v>104</v>
      </c>
      <c r="AD99" t="s">
        <v>358</v>
      </c>
      <c r="AE99" s="9">
        <v>81</v>
      </c>
      <c r="AF99" t="s">
        <v>1856</v>
      </c>
    </row>
    <row r="100" spans="29:32" x14ac:dyDescent="0.2">
      <c r="AC100" s="3" t="s">
        <v>1135</v>
      </c>
      <c r="AD100" t="s">
        <v>279</v>
      </c>
      <c r="AE100" s="9">
        <v>82</v>
      </c>
      <c r="AF100" t="s">
        <v>1856</v>
      </c>
    </row>
    <row r="101" spans="29:32" x14ac:dyDescent="0.2">
      <c r="AC101" s="3" t="s">
        <v>113</v>
      </c>
      <c r="AD101" t="s">
        <v>284</v>
      </c>
      <c r="AE101" s="9">
        <v>83</v>
      </c>
      <c r="AF101" t="s">
        <v>1643</v>
      </c>
    </row>
    <row r="102" spans="29:32" x14ac:dyDescent="0.2">
      <c r="AC102" s="3" t="s">
        <v>1753</v>
      </c>
      <c r="AD102" t="s">
        <v>1754</v>
      </c>
      <c r="AE102" s="9">
        <v>84</v>
      </c>
      <c r="AF102" t="s">
        <v>1643</v>
      </c>
    </row>
    <row r="103" spans="29:32" x14ac:dyDescent="0.2">
      <c r="AC103" s="3" t="s">
        <v>492</v>
      </c>
      <c r="AD103" t="s">
        <v>567</v>
      </c>
      <c r="AE103" s="9">
        <v>85</v>
      </c>
      <c r="AF103" t="s">
        <v>1643</v>
      </c>
    </row>
    <row r="104" spans="29:32" x14ac:dyDescent="0.2">
      <c r="AC104" s="3"/>
      <c r="AD104" t="s">
        <v>491</v>
      </c>
      <c r="AE104" s="9">
        <v>86</v>
      </c>
      <c r="AF104" t="s">
        <v>1643</v>
      </c>
    </row>
    <row r="105" spans="29:32" x14ac:dyDescent="0.2">
      <c r="AC105" s="3" t="s">
        <v>637</v>
      </c>
      <c r="AD105" t="s">
        <v>1945</v>
      </c>
      <c r="AE105" s="9">
        <v>87</v>
      </c>
      <c r="AF105" t="s">
        <v>1643</v>
      </c>
    </row>
    <row r="106" spans="29:32" x14ac:dyDescent="0.2">
      <c r="AC106" s="3" t="s">
        <v>1936</v>
      </c>
      <c r="AD106" t="s">
        <v>1791</v>
      </c>
      <c r="AE106" s="9">
        <v>88</v>
      </c>
      <c r="AF106" t="s">
        <v>1643</v>
      </c>
    </row>
    <row r="107" spans="29:32" x14ac:dyDescent="0.2">
      <c r="AC107" s="3" t="s">
        <v>596</v>
      </c>
      <c r="AD107" t="s">
        <v>356</v>
      </c>
      <c r="AE107" s="9">
        <v>89</v>
      </c>
      <c r="AF107" t="s">
        <v>1643</v>
      </c>
    </row>
    <row r="108" spans="29:32" x14ac:dyDescent="0.2">
      <c r="AC108" s="3"/>
      <c r="AD108" t="s">
        <v>763</v>
      </c>
      <c r="AE108" s="9">
        <v>90</v>
      </c>
      <c r="AF108" t="s">
        <v>1856</v>
      </c>
    </row>
    <row r="109" spans="29:32" x14ac:dyDescent="0.2">
      <c r="AC109" s="3" t="s">
        <v>1254</v>
      </c>
      <c r="AD109" t="s">
        <v>721</v>
      </c>
      <c r="AE109" s="9">
        <v>91</v>
      </c>
      <c r="AF109" t="s">
        <v>1856</v>
      </c>
    </row>
    <row r="110" spans="29:32" x14ac:dyDescent="0.2">
      <c r="AC110" s="3" t="s">
        <v>107</v>
      </c>
      <c r="AD110" t="s">
        <v>359</v>
      </c>
      <c r="AE110" s="9">
        <v>92</v>
      </c>
      <c r="AF110" t="s">
        <v>1643</v>
      </c>
    </row>
    <row r="111" spans="29:32" x14ac:dyDescent="0.2">
      <c r="AC111" s="3"/>
      <c r="AD111" t="s">
        <v>331</v>
      </c>
      <c r="AE111" s="9">
        <v>93</v>
      </c>
      <c r="AF111" t="s">
        <v>1643</v>
      </c>
    </row>
    <row r="112" spans="29:32" x14ac:dyDescent="0.2">
      <c r="AC112" s="3" t="s">
        <v>1923</v>
      </c>
      <c r="AD112" t="s">
        <v>1298</v>
      </c>
      <c r="AE112" s="9">
        <v>95</v>
      </c>
      <c r="AF112" t="s">
        <v>1643</v>
      </c>
    </row>
    <row r="113" spans="29:32" x14ac:dyDescent="0.2">
      <c r="AC113" s="3"/>
      <c r="AD113" t="s">
        <v>1924</v>
      </c>
      <c r="AE113" s="9">
        <v>94</v>
      </c>
      <c r="AF113" t="s">
        <v>1643</v>
      </c>
    </row>
    <row r="114" spans="29:32" x14ac:dyDescent="0.2">
      <c r="AC114" s="3" t="s">
        <v>1260</v>
      </c>
      <c r="AD114" t="s">
        <v>1344</v>
      </c>
      <c r="AE114" s="9">
        <v>96</v>
      </c>
      <c r="AF114" t="s">
        <v>1856</v>
      </c>
    </row>
    <row r="115" spans="29:32" x14ac:dyDescent="0.2">
      <c r="AC115" s="3" t="s">
        <v>1253</v>
      </c>
      <c r="AD115" t="s">
        <v>301</v>
      </c>
      <c r="AE115" s="9">
        <v>97</v>
      </c>
      <c r="AF115" t="s">
        <v>1643</v>
      </c>
    </row>
    <row r="116" spans="29:32" x14ac:dyDescent="0.2">
      <c r="AC116" s="3" t="s">
        <v>849</v>
      </c>
      <c r="AD116" t="s">
        <v>1943</v>
      </c>
      <c r="AE116" s="9">
        <v>98</v>
      </c>
      <c r="AF116" t="s">
        <v>1643</v>
      </c>
    </row>
    <row r="117" spans="29:32" x14ac:dyDescent="0.2">
      <c r="AC117" s="3" t="s">
        <v>100</v>
      </c>
      <c r="AD117" t="s">
        <v>292</v>
      </c>
      <c r="AE117" s="9">
        <v>99</v>
      </c>
      <c r="AF117" t="s">
        <v>1643</v>
      </c>
    </row>
    <row r="118" spans="29:32" x14ac:dyDescent="0.2">
      <c r="AC118" s="3"/>
      <c r="AD118" t="s">
        <v>317</v>
      </c>
      <c r="AE118" s="9">
        <v>100</v>
      </c>
      <c r="AF118" t="s">
        <v>1643</v>
      </c>
    </row>
    <row r="119" spans="29:32" x14ac:dyDescent="0.2">
      <c r="AC119" s="3" t="s">
        <v>1605</v>
      </c>
      <c r="AD119" t="s">
        <v>291</v>
      </c>
      <c r="AE119" s="9">
        <v>101</v>
      </c>
      <c r="AF119" t="s">
        <v>1856</v>
      </c>
    </row>
    <row r="120" spans="29:32" x14ac:dyDescent="0.2">
      <c r="AC120" s="3" t="s">
        <v>247</v>
      </c>
      <c r="AD120" t="s">
        <v>360</v>
      </c>
      <c r="AE120" s="9">
        <v>102</v>
      </c>
      <c r="AF120" t="s">
        <v>1643</v>
      </c>
    </row>
    <row r="121" spans="29:32" x14ac:dyDescent="0.2">
      <c r="AC121" s="3" t="s">
        <v>940</v>
      </c>
      <c r="AD121" t="s">
        <v>569</v>
      </c>
      <c r="AE121" s="9">
        <v>103</v>
      </c>
      <c r="AF121" t="s">
        <v>1856</v>
      </c>
    </row>
    <row r="122" spans="29:32" x14ac:dyDescent="0.2">
      <c r="AC122" s="3" t="s">
        <v>1925</v>
      </c>
      <c r="AD122" t="s">
        <v>321</v>
      </c>
      <c r="AE122" s="9">
        <v>105</v>
      </c>
      <c r="AF122" t="s">
        <v>1643</v>
      </c>
    </row>
    <row r="123" spans="29:32" x14ac:dyDescent="0.2">
      <c r="AC123" s="3"/>
      <c r="AD123" t="s">
        <v>1926</v>
      </c>
      <c r="AE123" s="9">
        <v>104</v>
      </c>
      <c r="AF123" t="s">
        <v>1643</v>
      </c>
    </row>
    <row r="124" spans="29:32" x14ac:dyDescent="0.2">
      <c r="AC124" s="3" t="s">
        <v>1920</v>
      </c>
      <c r="AD124" t="s">
        <v>1921</v>
      </c>
      <c r="AE124" s="9">
        <v>106</v>
      </c>
      <c r="AF124" t="s">
        <v>1643</v>
      </c>
    </row>
    <row r="125" spans="29:32" x14ac:dyDescent="0.2">
      <c r="AC125" s="3"/>
      <c r="AD125" t="s">
        <v>1922</v>
      </c>
      <c r="AE125" s="9">
        <v>107</v>
      </c>
      <c r="AF125" t="s">
        <v>1643</v>
      </c>
    </row>
    <row r="126" spans="29:32" x14ac:dyDescent="0.2">
      <c r="AC126" s="3" t="s">
        <v>120</v>
      </c>
      <c r="AD126" t="s">
        <v>575</v>
      </c>
      <c r="AE126" s="9">
        <v>108</v>
      </c>
      <c r="AF126" t="s">
        <v>1856</v>
      </c>
    </row>
    <row r="127" spans="29:32" x14ac:dyDescent="0.2">
      <c r="AC127" s="3"/>
      <c r="AD127" t="s">
        <v>306</v>
      </c>
      <c r="AE127" s="9">
        <v>109</v>
      </c>
      <c r="AF127" t="s">
        <v>1643</v>
      </c>
    </row>
    <row r="128" spans="29:32" x14ac:dyDescent="0.2">
      <c r="AC128" s="3" t="s">
        <v>796</v>
      </c>
      <c r="AD128" t="s">
        <v>801</v>
      </c>
      <c r="AE128" s="9">
        <v>110</v>
      </c>
      <c r="AF128" t="s">
        <v>1643</v>
      </c>
    </row>
    <row r="129" spans="29:32" x14ac:dyDescent="0.2">
      <c r="AC129" s="3" t="s">
        <v>1258</v>
      </c>
      <c r="AD129" t="s">
        <v>297</v>
      </c>
      <c r="AE129" s="9">
        <v>111</v>
      </c>
      <c r="AF129" t="s">
        <v>1856</v>
      </c>
    </row>
    <row r="130" spans="29:32" x14ac:dyDescent="0.2">
      <c r="AC130" s="3" t="s">
        <v>1951</v>
      </c>
      <c r="AD130" t="s">
        <v>1952</v>
      </c>
      <c r="AE130" s="9">
        <v>112</v>
      </c>
      <c r="AF130" t="s">
        <v>1643</v>
      </c>
    </row>
    <row r="131" spans="29:32" x14ac:dyDescent="0.2">
      <c r="AC131" s="3" t="s">
        <v>1932</v>
      </c>
      <c r="AD131" t="s">
        <v>322</v>
      </c>
      <c r="AE131" s="9">
        <v>113</v>
      </c>
      <c r="AF131" t="s">
        <v>1643</v>
      </c>
    </row>
    <row r="132" spans="29:32" x14ac:dyDescent="0.2">
      <c r="AC132" s="3" t="s">
        <v>716</v>
      </c>
      <c r="AD132" t="s">
        <v>297</v>
      </c>
      <c r="AE132" s="9">
        <v>114</v>
      </c>
      <c r="AF132" t="s">
        <v>1643</v>
      </c>
    </row>
    <row r="133" spans="29:32" x14ac:dyDescent="0.2">
      <c r="AC133" s="3" t="s">
        <v>597</v>
      </c>
      <c r="AD133" t="s">
        <v>601</v>
      </c>
      <c r="AE133" s="9">
        <v>115</v>
      </c>
      <c r="AF133" t="s">
        <v>1643</v>
      </c>
    </row>
    <row r="134" spans="29:32" x14ac:dyDescent="0.2">
      <c r="AC134" s="3" t="s">
        <v>103</v>
      </c>
      <c r="AD134" t="s">
        <v>361</v>
      </c>
      <c r="AE134" s="9">
        <v>116</v>
      </c>
      <c r="AF134" t="s">
        <v>1643</v>
      </c>
    </row>
    <row r="135" spans="29:32" x14ac:dyDescent="0.2">
      <c r="AC135" s="3" t="s">
        <v>1933</v>
      </c>
      <c r="AD135" t="s">
        <v>1934</v>
      </c>
      <c r="AE135" s="9">
        <v>117</v>
      </c>
      <c r="AF135" t="s">
        <v>1643</v>
      </c>
    </row>
    <row r="136" spans="29:32" x14ac:dyDescent="0.2">
      <c r="AC136" s="3" t="s">
        <v>753</v>
      </c>
      <c r="AD136" t="s">
        <v>615</v>
      </c>
      <c r="AE136" s="9">
        <v>118</v>
      </c>
      <c r="AF136" t="s">
        <v>1643</v>
      </c>
    </row>
    <row r="137" spans="29:32" x14ac:dyDescent="0.2">
      <c r="AC137" s="3" t="s">
        <v>45</v>
      </c>
      <c r="AD137" t="s">
        <v>366</v>
      </c>
      <c r="AE137" s="9">
        <v>119</v>
      </c>
      <c r="AF137" t="s">
        <v>1643</v>
      </c>
    </row>
    <row r="138" spans="29:32" x14ac:dyDescent="0.2">
      <c r="AC138" s="3" t="s">
        <v>1539</v>
      </c>
      <c r="AD138" t="s">
        <v>284</v>
      </c>
      <c r="AE138" s="9">
        <v>120</v>
      </c>
      <c r="AF138" t="s">
        <v>1856</v>
      </c>
    </row>
    <row r="139" spans="29:32" x14ac:dyDescent="0.2">
      <c r="AC139" s="3" t="s">
        <v>1946</v>
      </c>
      <c r="AD139" t="s">
        <v>1947</v>
      </c>
      <c r="AE139" s="9">
        <v>121</v>
      </c>
      <c r="AF139" t="s">
        <v>1643</v>
      </c>
    </row>
    <row r="140" spans="29:32" x14ac:dyDescent="0.2">
      <c r="AC140" s="3" t="s">
        <v>439</v>
      </c>
      <c r="AD140" t="s">
        <v>1748</v>
      </c>
      <c r="AE140" s="9">
        <v>122</v>
      </c>
      <c r="AF140" t="s">
        <v>1643</v>
      </c>
    </row>
    <row r="141" spans="29:32" x14ac:dyDescent="0.2">
      <c r="AC141" s="3" t="s">
        <v>105</v>
      </c>
      <c r="AD141" t="s">
        <v>313</v>
      </c>
      <c r="AE141" s="9">
        <v>123</v>
      </c>
      <c r="AF141" t="s">
        <v>1643</v>
      </c>
    </row>
    <row r="142" spans="29:32" x14ac:dyDescent="0.2">
      <c r="AC142" s="3" t="s">
        <v>1077</v>
      </c>
      <c r="AD142" t="s">
        <v>1095</v>
      </c>
      <c r="AE142" s="9">
        <v>124</v>
      </c>
      <c r="AF142" t="s">
        <v>1856</v>
      </c>
    </row>
    <row r="143" spans="29:32" x14ac:dyDescent="0.2">
      <c r="AC143" s="3" t="s">
        <v>1935</v>
      </c>
      <c r="AD143" t="s">
        <v>291</v>
      </c>
      <c r="AE143" s="9">
        <v>125</v>
      </c>
      <c r="AF143" t="s">
        <v>1643</v>
      </c>
    </row>
    <row r="144" spans="29:32" x14ac:dyDescent="0.2">
      <c r="AC144" s="3" t="s">
        <v>109</v>
      </c>
      <c r="AD144" t="s">
        <v>362</v>
      </c>
      <c r="AE144" s="9">
        <v>126</v>
      </c>
      <c r="AF144" t="s">
        <v>1643</v>
      </c>
    </row>
  </sheetData>
  <sheetProtection algorithmName="SHA-512" hashValue="phd2iQmiqC3O2gbVQZVSYJ+ElfF+xu7ovs6E3eefqXT7EsAZLrkS7SqR3pE+tMgwpJlzYK89fxUJ58ZmYAu9/A==" saltValue="7JgPXjkHoeRS93xQwbfUCQ==" spinCount="100000" sheet="1" pivotTables="0"/>
  <mergeCells count="25">
    <mergeCell ref="A28:I28"/>
    <mergeCell ref="A29:I29"/>
    <mergeCell ref="A34:AA34"/>
    <mergeCell ref="A46:AA46"/>
    <mergeCell ref="A12:A13"/>
    <mergeCell ref="O12:O13"/>
    <mergeCell ref="J13:K13"/>
    <mergeCell ref="Y13:Z13"/>
    <mergeCell ref="A25:AA25"/>
    <mergeCell ref="N26:R26"/>
    <mergeCell ref="N27:R27"/>
    <mergeCell ref="S27:W27"/>
    <mergeCell ref="J12:K12"/>
    <mergeCell ref="Y12:Z12"/>
    <mergeCell ref="Y9:Z9"/>
    <mergeCell ref="J10:K10"/>
    <mergeCell ref="Y10:Z10"/>
    <mergeCell ref="J11:K11"/>
    <mergeCell ref="Y11:Z11"/>
    <mergeCell ref="J9:K9"/>
    <mergeCell ref="D2:E2"/>
    <mergeCell ref="D3:E3"/>
    <mergeCell ref="I3:L3"/>
    <mergeCell ref="B6:D6"/>
    <mergeCell ref="N6:P6"/>
  </mergeCells>
  <conditionalFormatting sqref="A17:E21">
    <cfRule type="cellIs" dxfId="74" priority="1011" operator="lessThan">
      <formula>0</formula>
    </cfRule>
    <cfRule type="expression" dxfId="73" priority="1012">
      <formula>OR(RIGHT($O17,4)="W.O.",RIGHT($F17,4)="W.O.")</formula>
    </cfRule>
    <cfRule type="expression" dxfId="72" priority="1013">
      <formula>AND(AND(($A$17=""),($A$18=""),AND($A$19="")),AND(#REF!="",#REF!=""))</formula>
    </cfRule>
    <cfRule type="cellIs" dxfId="71" priority="1014" operator="greaterThan">
      <formula>0</formula>
    </cfRule>
  </conditionalFormatting>
  <conditionalFormatting sqref="F17:F21">
    <cfRule type="expression" dxfId="70" priority="5">
      <formula>AND(ISNUMBER(L17),L17&gt;0)</formula>
    </cfRule>
  </conditionalFormatting>
  <conditionalFormatting sqref="I3 N3 R3 B6 F6 N6 R6 B10:C13 P10:Q13 N26:N27 S27">
    <cfRule type="containsBlanks" dxfId="69" priority="10">
      <formula>LEN(TRIM(B3))=0</formula>
    </cfRule>
  </conditionalFormatting>
  <conditionalFormatting sqref="L17:L21 N17:N21">
    <cfRule type="cellIs" dxfId="68" priority="7" operator="greaterThan">
      <formula>0</formula>
    </cfRule>
  </conditionalFormatting>
  <conditionalFormatting sqref="O17:O21">
    <cfRule type="expression" dxfId="67" priority="4">
      <formula>AND(ISNUMBER(N17),N17&gt;0)</formula>
    </cfRule>
  </conditionalFormatting>
  <dataValidations count="5">
    <dataValidation type="list" allowBlank="1" showInputMessage="1" showErrorMessage="1" sqref="N6:P6 B6:D6" xr:uid="{00000000-0002-0000-0600-000000000000}">
      <formula1>Club</formula1>
    </dataValidation>
    <dataValidation type="list" allowBlank="1" showInputMessage="1" showErrorMessage="1" sqref="I3" xr:uid="{00000000-0002-0000-0600-000001000000}">
      <formula1>$BN$21:$BN$22</formula1>
    </dataValidation>
    <dataValidation type="list" allowBlank="1" showInputMessage="1" showErrorMessage="1" sqref="R6 F6" xr:uid="{00000000-0002-0000-0600-000002000000}">
      <formula1>$BN$28:$BN$34</formula1>
    </dataValidation>
    <dataValidation type="list" allowBlank="1" showInputMessage="1" showErrorMessage="1" sqref="N26:R27" xr:uid="{00000000-0002-0000-0600-000004000000}">
      <formula1>$BJ$39:$BJ$42</formula1>
    </dataValidation>
    <dataValidation type="list" allowBlank="1" showInputMessage="1" sqref="S27:W27" xr:uid="{00000000-0002-0000-0600-000005000000}">
      <formula1>$BJ$39:$BJ$42</formula1>
    </dataValidation>
  </dataValidations>
  <hyperlinks>
    <hyperlink ref="Q31" r:id="rId2" xr:uid="{00000000-0004-0000-0600-000000000000}"/>
  </hyperlinks>
  <printOptions horizontalCentered="1" verticalCentered="1"/>
  <pageMargins left="0.31496062992125984" right="0.31496062992125984" top="0.15748031496062992" bottom="0.35433070866141736" header="0.11811023622047245" footer="0.31496062992125984"/>
  <pageSetup paperSize="9" scale="65" fitToHeight="2" orientation="landscape" r:id="rId3"/>
  <headerFooter>
    <oddHeader>&amp;C&amp;"Calibri"&amp;10&amp;KFF8C00C2 - Confidential&amp;1#</oddHeader>
  </headerFooter>
  <rowBreaks count="1" manualBreakCount="1">
    <brk id="33" max="26" man="1"/>
  </rowBreaks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600-000003000000}">
          <x14:formula1>
            <xm:f>'Jour Match'!$B$26:$B$34</xm:f>
          </x14:formula1>
          <xm:sqref>R3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 tint="0.39997558519241921"/>
  </sheetPr>
  <dimension ref="A1:AI69"/>
  <sheetViews>
    <sheetView zoomScale="55" zoomScaleNormal="55" workbookViewId="0">
      <selection activeCell="A43" sqref="A43:K55"/>
    </sheetView>
  </sheetViews>
  <sheetFormatPr baseColWidth="10" defaultColWidth="11.1640625" defaultRowHeight="16" x14ac:dyDescent="0.2"/>
  <cols>
    <col min="1" max="11" width="5.6640625" customWidth="1"/>
    <col min="12" max="12" width="1.6640625" customWidth="1"/>
    <col min="13" max="23" width="5.6640625" customWidth="1"/>
    <col min="24" max="24" width="1.6640625" customWidth="1"/>
    <col min="25" max="42" width="5.6640625" customWidth="1"/>
  </cols>
  <sheetData>
    <row r="1" spans="1:35" ht="21" customHeight="1" x14ac:dyDescent="0.25">
      <c r="A1" s="476" t="s">
        <v>1665</v>
      </c>
      <c r="B1" s="476"/>
      <c r="C1" s="476"/>
      <c r="D1" s="476"/>
      <c r="E1" s="476"/>
      <c r="F1" s="476"/>
      <c r="G1" s="476"/>
      <c r="H1" s="476"/>
      <c r="I1" s="476"/>
      <c r="J1" s="476"/>
      <c r="K1" s="476"/>
      <c r="L1" s="151"/>
      <c r="M1" s="476" t="str">
        <f>A1</f>
        <v>UFOLEP 77 – Championnat JEUNES - 2025 - 2026</v>
      </c>
      <c r="N1" s="476"/>
      <c r="O1" s="476"/>
      <c r="P1" s="476"/>
      <c r="Q1" s="476"/>
      <c r="R1" s="476"/>
      <c r="S1" s="476"/>
      <c r="T1" s="476"/>
      <c r="U1" s="476"/>
      <c r="V1" s="476"/>
      <c r="W1" s="476"/>
      <c r="X1" s="151"/>
      <c r="Y1" s="476" t="str">
        <f>A1</f>
        <v>UFOLEP 77 – Championnat JEUNES - 2025 - 2026</v>
      </c>
      <c r="Z1" s="476"/>
      <c r="AA1" s="476"/>
      <c r="AB1" s="476"/>
      <c r="AC1" s="476"/>
      <c r="AD1" s="476"/>
      <c r="AE1" s="476"/>
      <c r="AF1" s="476"/>
      <c r="AG1" s="476"/>
      <c r="AH1" s="476"/>
      <c r="AI1" s="476"/>
    </row>
    <row r="2" spans="1:35" ht="19" customHeight="1" x14ac:dyDescent="0.2">
      <c r="A2" s="129"/>
      <c r="B2" s="470">
        <f>+'JEUNES (2)'!I3</f>
        <v>0</v>
      </c>
      <c r="C2" s="470"/>
      <c r="D2" s="470"/>
      <c r="E2" s="470"/>
      <c r="F2" s="470"/>
      <c r="G2" s="130" t="s">
        <v>28</v>
      </c>
      <c r="H2" s="165">
        <f>+'JEUNES (2)'!$N$3</f>
        <v>0</v>
      </c>
      <c r="I2" s="131" t="s">
        <v>427</v>
      </c>
      <c r="J2" s="131"/>
      <c r="K2" s="132">
        <f>+'JEUNES (2)'!$R$3</f>
        <v>0</v>
      </c>
      <c r="L2" s="152"/>
      <c r="M2" s="129"/>
      <c r="N2" s="470">
        <f>+B2</f>
        <v>0</v>
      </c>
      <c r="O2" s="470"/>
      <c r="P2" s="470"/>
      <c r="Q2" s="470"/>
      <c r="R2" s="470"/>
      <c r="S2" s="130" t="s">
        <v>28</v>
      </c>
      <c r="T2" s="164">
        <f>+'JEUNES (2)'!$N$3</f>
        <v>0</v>
      </c>
      <c r="U2" s="131" t="s">
        <v>427</v>
      </c>
      <c r="V2" s="131"/>
      <c r="W2" s="132">
        <f>+'JEUNES (2)'!$R$3</f>
        <v>0</v>
      </c>
      <c r="X2" s="152"/>
      <c r="Y2" s="129"/>
      <c r="Z2" s="470">
        <f>+B2</f>
        <v>0</v>
      </c>
      <c r="AA2" s="470"/>
      <c r="AB2" s="470"/>
      <c r="AC2" s="470">
        <f>+'JEUNES (2)'!$I$3</f>
        <v>0</v>
      </c>
      <c r="AD2" s="470"/>
      <c r="AE2" s="130" t="s">
        <v>28</v>
      </c>
      <c r="AF2" s="164">
        <f>+'JEUNES (2)'!$N$3</f>
        <v>0</v>
      </c>
      <c r="AG2" s="131" t="s">
        <v>427</v>
      </c>
      <c r="AH2" s="131"/>
      <c r="AI2" s="132">
        <f>+'JEUNES (2)'!$R$3</f>
        <v>0</v>
      </c>
    </row>
    <row r="3" spans="1:35" ht="19" customHeight="1" x14ac:dyDescent="0.2">
      <c r="A3" s="475" t="str">
        <f>+'JEUNES (2)'!$B$6&amp;" "&amp;'JEUNES (2)'!$F$6</f>
        <v xml:space="preserve"> </v>
      </c>
      <c r="B3" s="475"/>
      <c r="C3" s="475"/>
      <c r="D3" s="475"/>
      <c r="E3" s="475"/>
      <c r="F3" s="475"/>
      <c r="G3" s="153" t="s">
        <v>426</v>
      </c>
      <c r="H3" s="468" t="str">
        <f>+'JEUNES (2)'!$N$6&amp;" "&amp;'JEUNES (2)'!$R$6</f>
        <v xml:space="preserve"> </v>
      </c>
      <c r="I3" s="468"/>
      <c r="J3" s="468"/>
      <c r="K3" s="468"/>
      <c r="L3" s="154"/>
      <c r="M3" s="475" t="str">
        <f>+'JEUNES (2)'!$B$6&amp;" "&amp;'JEUNES (2)'!$F$6</f>
        <v xml:space="preserve"> </v>
      </c>
      <c r="N3" s="475"/>
      <c r="O3" s="475"/>
      <c r="P3" s="475"/>
      <c r="Q3" s="475"/>
      <c r="R3" s="475"/>
      <c r="S3" s="147" t="s">
        <v>426</v>
      </c>
      <c r="T3" s="468" t="str">
        <f>+'JEUNES (2)'!$N$6&amp;" "&amp;'JEUNES (2)'!$R$6</f>
        <v xml:space="preserve"> </v>
      </c>
      <c r="U3" s="468"/>
      <c r="V3" s="468"/>
      <c r="W3" s="468"/>
      <c r="X3" s="154"/>
      <c r="Y3" s="475" t="str">
        <f>+'JEUNES (2)'!$B$6&amp;" "&amp;'JEUNES (2)'!$F$6</f>
        <v xml:space="preserve"> </v>
      </c>
      <c r="Z3" s="475"/>
      <c r="AA3" s="475"/>
      <c r="AB3" s="475"/>
      <c r="AC3" s="475"/>
      <c r="AD3" s="475"/>
      <c r="AE3" s="153" t="s">
        <v>426</v>
      </c>
      <c r="AF3" s="468" t="str">
        <f>+'JEUNES (2)'!$N$6&amp;" "&amp;'JEUNES (2)'!$R$6</f>
        <v xml:space="preserve"> </v>
      </c>
      <c r="AG3" s="468"/>
      <c r="AH3" s="468"/>
      <c r="AI3" s="468"/>
    </row>
    <row r="4" spans="1:35" ht="19" customHeight="1" thickBot="1" x14ac:dyDescent="0.25">
      <c r="A4" s="134" t="s">
        <v>29</v>
      </c>
      <c r="B4" s="512" t="str">
        <f>IF(ISBLANK('JEUNES (2)'!D3),'JEUNES (2)'!D2,'JEUNES (2)'!D3)</f>
        <v/>
      </c>
      <c r="C4" s="512" t="e">
        <f>IF(ISBLANK(' EQUIPE A 4'!#REF!),' EQUIPE A 4'!#REF!,#REF!)</f>
        <v>#REF!</v>
      </c>
      <c r="D4" s="512" t="e">
        <f>IF(ISBLANK(' EQUIPE A 4'!#REF!),' EQUIPE A 4'!#REF!,#REF!)</f>
        <v>#REF!</v>
      </c>
      <c r="E4" s="512" t="e">
        <f>IF(ISBLANK(' EQUIPE A 4'!#REF!),' EQUIPE A 4'!#REF!,#REF!)</f>
        <v>#REF!</v>
      </c>
      <c r="F4" s="512" t="e">
        <f>IF(ISBLANK(' EQUIPE A 4'!#REF!),' EQUIPE A 4'!#REF!,#REF!)</f>
        <v>#REF!</v>
      </c>
      <c r="G4" s="135"/>
      <c r="H4" s="136" t="s">
        <v>407</v>
      </c>
      <c r="I4" s="135"/>
      <c r="J4" s="135"/>
      <c r="K4" s="137"/>
      <c r="L4" s="155"/>
      <c r="M4" s="134" t="s">
        <v>29</v>
      </c>
      <c r="N4" s="512" t="str">
        <f>+B4</f>
        <v/>
      </c>
      <c r="O4" s="512"/>
      <c r="P4" s="512"/>
      <c r="Q4" s="512"/>
      <c r="R4" s="512"/>
      <c r="S4" s="135"/>
      <c r="T4" s="136" t="s">
        <v>407</v>
      </c>
      <c r="U4" s="135"/>
      <c r="V4" s="135"/>
      <c r="W4" s="137"/>
      <c r="X4" s="155"/>
      <c r="Y4" s="134" t="s">
        <v>29</v>
      </c>
      <c r="Z4" s="512" t="str">
        <f>+B4</f>
        <v/>
      </c>
      <c r="AA4" s="512"/>
      <c r="AB4" s="512"/>
      <c r="AC4" s="512">
        <v>43382</v>
      </c>
      <c r="AD4" s="512"/>
      <c r="AE4" s="135"/>
      <c r="AF4" s="136" t="s">
        <v>407</v>
      </c>
      <c r="AG4" s="135"/>
      <c r="AH4" s="135"/>
      <c r="AI4" s="137"/>
    </row>
    <row r="5" spans="1:35" ht="19" customHeight="1" thickTop="1" x14ac:dyDescent="0.2">
      <c r="A5" s="129"/>
      <c r="B5" s="138"/>
      <c r="C5" s="138"/>
      <c r="D5" s="138"/>
      <c r="E5" s="138"/>
      <c r="F5" s="131"/>
      <c r="G5" s="131" t="s">
        <v>1021</v>
      </c>
      <c r="H5" s="131"/>
      <c r="I5" s="131"/>
      <c r="J5" s="131"/>
      <c r="K5" s="139"/>
      <c r="L5" s="155"/>
      <c r="M5" s="129"/>
      <c r="N5" s="138"/>
      <c r="O5" s="138"/>
      <c r="P5" s="138"/>
      <c r="Q5" s="138"/>
      <c r="R5" s="131"/>
      <c r="S5" s="131" t="s">
        <v>1021</v>
      </c>
      <c r="T5" s="131"/>
      <c r="U5" s="131"/>
      <c r="V5" s="131"/>
      <c r="W5" s="139"/>
      <c r="X5" s="155"/>
      <c r="Y5" s="129"/>
      <c r="Z5" s="131"/>
      <c r="AA5" s="131"/>
      <c r="AB5" s="131"/>
      <c r="AC5" s="138"/>
      <c r="AD5" s="131"/>
      <c r="AE5" s="131" t="s">
        <v>1021</v>
      </c>
      <c r="AF5" s="131"/>
      <c r="AG5" s="131"/>
      <c r="AH5" s="131"/>
      <c r="AI5" s="139"/>
    </row>
    <row r="6" spans="1:35" ht="19" customHeight="1" x14ac:dyDescent="0.25">
      <c r="A6" s="156" t="s">
        <v>405</v>
      </c>
      <c r="B6" s="474" t="s">
        <v>428</v>
      </c>
      <c r="C6" s="474"/>
      <c r="D6" s="474"/>
      <c r="E6" s="474"/>
      <c r="F6" s="474"/>
      <c r="G6" s="157" t="s">
        <v>12</v>
      </c>
      <c r="H6" s="157" t="s">
        <v>13</v>
      </c>
      <c r="I6" s="157" t="s">
        <v>14</v>
      </c>
      <c r="J6" s="157" t="s">
        <v>15</v>
      </c>
      <c r="K6" s="157" t="s">
        <v>16</v>
      </c>
      <c r="L6" s="158"/>
      <c r="M6" s="156" t="s">
        <v>405</v>
      </c>
      <c r="N6" s="474" t="s">
        <v>429</v>
      </c>
      <c r="O6" s="474"/>
      <c r="P6" s="474"/>
      <c r="Q6" s="474"/>
      <c r="R6" s="474"/>
      <c r="S6" s="157" t="s">
        <v>12</v>
      </c>
      <c r="T6" s="157" t="s">
        <v>13</v>
      </c>
      <c r="U6" s="157" t="s">
        <v>14</v>
      </c>
      <c r="V6" s="157" t="s">
        <v>15</v>
      </c>
      <c r="W6" s="157" t="s">
        <v>16</v>
      </c>
      <c r="X6" s="158"/>
      <c r="Y6" s="156" t="s">
        <v>405</v>
      </c>
      <c r="Z6" s="474" t="s">
        <v>430</v>
      </c>
      <c r="AA6" s="474"/>
      <c r="AB6" s="474"/>
      <c r="AC6" s="474"/>
      <c r="AD6" s="474"/>
      <c r="AE6" s="157" t="s">
        <v>12</v>
      </c>
      <c r="AF6" s="157" t="s">
        <v>13</v>
      </c>
      <c r="AG6" s="157" t="s">
        <v>14</v>
      </c>
      <c r="AH6" s="157" t="s">
        <v>15</v>
      </c>
      <c r="AI6" s="157" t="s">
        <v>16</v>
      </c>
    </row>
    <row r="7" spans="1:35" ht="24" customHeight="1" x14ac:dyDescent="0.2">
      <c r="A7" s="159" t="str">
        <f>+'JEUNES (2)'!C10</f>
        <v xml:space="preserve"> </v>
      </c>
      <c r="B7" s="131"/>
      <c r="C7" s="131"/>
      <c r="D7" s="131"/>
      <c r="E7" s="131"/>
      <c r="F7" s="131"/>
      <c r="G7" s="141"/>
      <c r="H7" s="141"/>
      <c r="I7" s="141"/>
      <c r="J7" s="141"/>
      <c r="K7" s="141"/>
      <c r="L7" s="155"/>
      <c r="M7" s="159" t="str">
        <f>+'JEUNES (2)'!C11</f>
        <v xml:space="preserve"> </v>
      </c>
      <c r="N7" s="131"/>
      <c r="O7" s="131"/>
      <c r="P7" s="131"/>
      <c r="Q7" s="131"/>
      <c r="R7" s="131"/>
      <c r="S7" s="141"/>
      <c r="T7" s="141"/>
      <c r="U7" s="141"/>
      <c r="V7" s="141"/>
      <c r="W7" s="141"/>
      <c r="X7" s="155"/>
      <c r="Y7" s="159" t="str">
        <f>+'JEUNES (2)'!C11</f>
        <v xml:space="preserve"> </v>
      </c>
      <c r="Z7" s="131"/>
      <c r="AA7" s="131"/>
      <c r="AB7" s="131"/>
      <c r="AC7" s="131"/>
      <c r="AD7" s="131"/>
      <c r="AE7" s="141"/>
      <c r="AF7" s="141"/>
      <c r="AG7" s="141"/>
      <c r="AH7" s="141"/>
      <c r="AI7" s="141"/>
    </row>
    <row r="8" spans="1:35" ht="24" customHeight="1" x14ac:dyDescent="0.2">
      <c r="A8" s="162" t="str">
        <f>'JEUNES (2)'!I10</f>
        <v/>
      </c>
      <c r="B8" s="131"/>
      <c r="C8" s="131"/>
      <c r="D8" s="131"/>
      <c r="E8" s="131"/>
      <c r="F8" s="131"/>
      <c r="G8" s="143"/>
      <c r="H8" s="143"/>
      <c r="I8" s="143"/>
      <c r="J8" s="143"/>
      <c r="K8" s="143"/>
      <c r="L8" s="155"/>
      <c r="M8" s="163" t="str">
        <f>'JEUNES (2)'!I11</f>
        <v/>
      </c>
      <c r="N8" s="131"/>
      <c r="O8" s="131"/>
      <c r="P8" s="131"/>
      <c r="Q8" s="131"/>
      <c r="R8" s="131"/>
      <c r="S8" s="143"/>
      <c r="T8" s="143"/>
      <c r="U8" s="143"/>
      <c r="V8" s="143"/>
      <c r="W8" s="143"/>
      <c r="X8" s="155"/>
      <c r="Y8" s="163" t="str">
        <f>'JEUNES (2)'!I11</f>
        <v/>
      </c>
      <c r="Z8" s="131"/>
      <c r="AA8" s="131"/>
      <c r="AB8" s="131"/>
      <c r="AC8" s="131"/>
      <c r="AD8" s="131"/>
      <c r="AE8" s="143"/>
      <c r="AF8" s="143"/>
      <c r="AG8" s="143"/>
      <c r="AH8" s="143"/>
      <c r="AI8" s="143"/>
    </row>
    <row r="9" spans="1:35" ht="25.5" customHeight="1" x14ac:dyDescent="0.2">
      <c r="A9" s="142" t="s">
        <v>156</v>
      </c>
      <c r="B9" s="131"/>
      <c r="C9" s="131"/>
      <c r="D9" s="131"/>
      <c r="E9" s="131"/>
      <c r="F9" s="131"/>
      <c r="G9" s="131"/>
      <c r="H9" s="131"/>
      <c r="I9" s="131"/>
      <c r="J9" s="131"/>
      <c r="K9" s="140"/>
      <c r="L9" s="155"/>
      <c r="M9" s="142" t="s">
        <v>156</v>
      </c>
      <c r="N9" s="131"/>
      <c r="O9" s="131"/>
      <c r="P9" s="131"/>
      <c r="Q9" s="131"/>
      <c r="R9" s="131"/>
      <c r="S9" s="131"/>
      <c r="T9" s="131"/>
      <c r="U9" s="131"/>
      <c r="V9" s="131"/>
      <c r="W9" s="140"/>
      <c r="X9" s="155"/>
      <c r="Y9" s="142" t="s">
        <v>156</v>
      </c>
      <c r="Z9" s="130"/>
      <c r="AA9" s="130"/>
      <c r="AB9" s="130"/>
      <c r="AC9" s="131"/>
      <c r="AD9" s="131"/>
      <c r="AE9" s="131"/>
      <c r="AF9" s="131"/>
      <c r="AG9" s="131"/>
      <c r="AH9" s="131"/>
      <c r="AI9" s="140"/>
    </row>
    <row r="10" spans="1:35" ht="24" customHeight="1" x14ac:dyDescent="0.2">
      <c r="A10" s="159" t="str">
        <f>+'JEUNES (2)'!$Q$10</f>
        <v xml:space="preserve"> </v>
      </c>
      <c r="B10" s="131"/>
      <c r="C10" s="131"/>
      <c r="D10" s="131"/>
      <c r="E10" s="131"/>
      <c r="F10" s="131"/>
      <c r="G10" s="141"/>
      <c r="H10" s="141"/>
      <c r="I10" s="141"/>
      <c r="J10" s="141"/>
      <c r="K10" s="141"/>
      <c r="L10" s="155"/>
      <c r="M10" s="159" t="str">
        <f>+'JEUNES (2)'!$Q$11</f>
        <v xml:space="preserve"> </v>
      </c>
      <c r="N10" s="131"/>
      <c r="O10" s="131"/>
      <c r="P10" s="131"/>
      <c r="Q10" s="131"/>
      <c r="R10" s="131"/>
      <c r="S10" s="141"/>
      <c r="T10" s="141"/>
      <c r="U10" s="141"/>
      <c r="V10" s="141"/>
      <c r="W10" s="141"/>
      <c r="X10" s="155"/>
      <c r="Y10" s="159" t="str">
        <f>+'JEUNES (2)'!$Q$10</f>
        <v xml:space="preserve"> </v>
      </c>
      <c r="Z10" s="131"/>
      <c r="AA10" s="131"/>
      <c r="AB10" s="131"/>
      <c r="AC10" s="131"/>
      <c r="AD10" s="131"/>
      <c r="AE10" s="141"/>
      <c r="AF10" s="141"/>
      <c r="AG10" s="141"/>
      <c r="AH10" s="141"/>
      <c r="AI10" s="141"/>
    </row>
    <row r="11" spans="1:35" ht="24" customHeight="1" x14ac:dyDescent="0.2">
      <c r="A11" s="163" t="str">
        <f>'JEUNES (2)'!X10</f>
        <v/>
      </c>
      <c r="B11" s="131"/>
      <c r="C11" s="131"/>
      <c r="D11" s="131"/>
      <c r="E11" s="131"/>
      <c r="F11" s="131"/>
      <c r="G11" s="143"/>
      <c r="H11" s="143"/>
      <c r="I11" s="143"/>
      <c r="J11" s="143"/>
      <c r="K11" s="143"/>
      <c r="L11" s="155"/>
      <c r="M11" s="163" t="str">
        <f>'JEUNES (2)'!X11</f>
        <v/>
      </c>
      <c r="N11" s="131"/>
      <c r="O11" s="131"/>
      <c r="P11" s="131"/>
      <c r="Q11" s="131"/>
      <c r="R11" s="131"/>
      <c r="S11" s="143"/>
      <c r="T11" s="143"/>
      <c r="U11" s="143"/>
      <c r="V11" s="143"/>
      <c r="W11" s="143"/>
      <c r="X11" s="155"/>
      <c r="Y11" s="163" t="str">
        <f>'JEUNES (2)'!X10</f>
        <v/>
      </c>
      <c r="Z11" s="131"/>
      <c r="AA11" s="131"/>
      <c r="AB11" s="131"/>
      <c r="AC11" s="131"/>
      <c r="AD11" s="131"/>
      <c r="AE11" s="143"/>
      <c r="AF11" s="143"/>
      <c r="AG11" s="143"/>
      <c r="AH11" s="143"/>
      <c r="AI11" s="143"/>
    </row>
    <row r="12" spans="1:35" ht="18" customHeight="1" x14ac:dyDescent="0.2">
      <c r="A12" s="144" t="s">
        <v>406</v>
      </c>
      <c r="B12" s="131" t="s">
        <v>408</v>
      </c>
      <c r="C12" s="131" t="str">
        <f>'JEUNES (2)'!Q11</f>
        <v xml:space="preserve"> </v>
      </c>
      <c r="D12" s="131"/>
      <c r="E12" s="131"/>
      <c r="F12" s="131"/>
      <c r="G12" s="131"/>
      <c r="H12" s="131"/>
      <c r="I12" s="131"/>
      <c r="J12" s="131"/>
      <c r="K12" s="139"/>
      <c r="L12" s="155"/>
      <c r="M12" s="144" t="s">
        <v>406</v>
      </c>
      <c r="N12" s="131" t="s">
        <v>409</v>
      </c>
      <c r="O12" s="131" t="str">
        <f>'JEUNES (2)'!Q10</f>
        <v xml:space="preserve"> </v>
      </c>
      <c r="P12" s="131"/>
      <c r="Q12" s="131"/>
      <c r="R12" s="131"/>
      <c r="S12" s="131"/>
      <c r="T12" s="131"/>
      <c r="U12" s="131"/>
      <c r="V12" s="131"/>
      <c r="W12" s="139"/>
      <c r="X12" s="155"/>
      <c r="Y12" s="144" t="s">
        <v>406</v>
      </c>
      <c r="Z12" s="145" t="s">
        <v>410</v>
      </c>
      <c r="AA12" s="131" t="str">
        <f>'JEUNES (2)'!C10</f>
        <v xml:space="preserve"> </v>
      </c>
      <c r="AB12" s="145"/>
      <c r="AC12" s="131"/>
      <c r="AD12" s="131"/>
      <c r="AE12" s="131"/>
      <c r="AF12" s="131"/>
      <c r="AG12" s="131"/>
      <c r="AH12" s="131"/>
      <c r="AI12" s="139"/>
    </row>
    <row r="13" spans="1:35" ht="18" customHeight="1" x14ac:dyDescent="0.2">
      <c r="A13" s="146"/>
      <c r="B13" s="147"/>
      <c r="C13" s="147"/>
      <c r="D13" s="147"/>
      <c r="E13" s="147"/>
      <c r="F13" s="147"/>
      <c r="G13" s="147"/>
      <c r="H13" s="147"/>
      <c r="I13" s="147"/>
      <c r="J13" s="147"/>
      <c r="K13" s="148"/>
      <c r="L13" s="155"/>
      <c r="M13" s="146"/>
      <c r="N13" s="147"/>
      <c r="O13" s="147"/>
      <c r="P13" s="147"/>
      <c r="Q13" s="147"/>
      <c r="R13" s="147"/>
      <c r="S13" s="147"/>
      <c r="T13" s="147"/>
      <c r="U13" s="147"/>
      <c r="V13" s="147"/>
      <c r="W13" s="148"/>
      <c r="X13" s="155"/>
      <c r="Y13" s="146"/>
      <c r="Z13" s="147"/>
      <c r="AA13" s="147"/>
      <c r="AB13" s="147"/>
      <c r="AC13" s="147"/>
      <c r="AD13" s="147"/>
      <c r="AE13" s="147"/>
      <c r="AF13" s="147"/>
      <c r="AG13" s="147"/>
      <c r="AH13" s="147"/>
      <c r="AI13" s="148"/>
    </row>
    <row r="14" spans="1:35" ht="2" customHeight="1" x14ac:dyDescent="0.2">
      <c r="A14" s="155"/>
      <c r="B14" s="155"/>
      <c r="C14" s="155"/>
      <c r="D14" s="155"/>
      <c r="E14" s="155"/>
      <c r="F14" s="155"/>
      <c r="G14" s="155"/>
      <c r="H14" s="155"/>
      <c r="I14" s="155"/>
      <c r="J14" s="155"/>
      <c r="K14" s="155"/>
      <c r="L14" s="155"/>
      <c r="M14" s="155"/>
      <c r="N14" s="155"/>
      <c r="O14" s="155"/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</row>
    <row r="15" spans="1:35" ht="19" customHeight="1" x14ac:dyDescent="0.25">
      <c r="A15" s="476" t="str">
        <f>A1</f>
        <v>UFOLEP 77 – Championnat JEUNES - 2025 - 2026</v>
      </c>
      <c r="B15" s="476"/>
      <c r="C15" s="476"/>
      <c r="D15" s="476"/>
      <c r="E15" s="476"/>
      <c r="F15" s="476"/>
      <c r="G15" s="476"/>
      <c r="H15" s="476"/>
      <c r="I15" s="476"/>
      <c r="J15" s="476"/>
      <c r="K15" s="476"/>
      <c r="L15" s="151"/>
      <c r="M15" s="476" t="str">
        <f>A1</f>
        <v>UFOLEP 77 – Championnat JEUNES - 2025 - 2026</v>
      </c>
      <c r="N15" s="476"/>
      <c r="O15" s="476"/>
      <c r="P15" s="476"/>
      <c r="Q15" s="476"/>
      <c r="R15" s="476"/>
      <c r="S15" s="476"/>
      <c r="T15" s="476"/>
      <c r="U15" s="476"/>
      <c r="V15" s="476"/>
      <c r="W15" s="476"/>
      <c r="X15" s="151"/>
      <c r="Y15" s="469" t="s">
        <v>437</v>
      </c>
      <c r="Z15" s="469"/>
      <c r="AA15" s="469"/>
      <c r="AB15" s="469"/>
      <c r="AC15" s="469"/>
      <c r="AD15" s="469"/>
      <c r="AE15" s="469"/>
      <c r="AF15" s="469"/>
      <c r="AG15" s="469"/>
      <c r="AH15" s="469"/>
      <c r="AI15" s="469"/>
    </row>
    <row r="16" spans="1:35" ht="19" customHeight="1" x14ac:dyDescent="0.2">
      <c r="A16" s="129"/>
      <c r="B16" s="470">
        <f>+B2</f>
        <v>0</v>
      </c>
      <c r="C16" s="470"/>
      <c r="D16" s="470"/>
      <c r="E16" s="470"/>
      <c r="F16" s="470"/>
      <c r="G16" s="130" t="s">
        <v>28</v>
      </c>
      <c r="H16" s="164">
        <f>+'JEUNES (2)'!$N$3</f>
        <v>0</v>
      </c>
      <c r="I16" s="131" t="s">
        <v>427</v>
      </c>
      <c r="J16" s="131"/>
      <c r="K16" s="132">
        <f>+'JEUNES (2)'!$R$3</f>
        <v>0</v>
      </c>
      <c r="L16" s="152"/>
      <c r="M16" s="129"/>
      <c r="N16" s="470">
        <f>+'JEUNES (2)'!$I$3</f>
        <v>0</v>
      </c>
      <c r="O16" s="470"/>
      <c r="P16" s="470"/>
      <c r="Q16" s="470"/>
      <c r="R16" s="470"/>
      <c r="S16" s="130" t="s">
        <v>28</v>
      </c>
      <c r="T16" s="164">
        <f>+'JEUNES (2)'!$N$3</f>
        <v>0</v>
      </c>
      <c r="U16" s="131" t="s">
        <v>427</v>
      </c>
      <c r="V16" s="131"/>
      <c r="W16" s="132">
        <f>+'JEUNES (2)'!$R$3</f>
        <v>0</v>
      </c>
      <c r="X16" s="152"/>
      <c r="Y16" s="129"/>
      <c r="Z16" s="131"/>
      <c r="AA16" s="131"/>
      <c r="AB16" s="131"/>
      <c r="AC16" s="470"/>
      <c r="AD16" s="470"/>
      <c r="AE16" s="130" t="s">
        <v>28</v>
      </c>
      <c r="AF16" s="133"/>
      <c r="AG16" s="131" t="s">
        <v>427</v>
      </c>
      <c r="AH16" s="131"/>
      <c r="AI16" s="132"/>
    </row>
    <row r="17" spans="1:35" ht="19" customHeight="1" x14ac:dyDescent="0.2">
      <c r="A17" s="475" t="str">
        <f>+'JEUNES (2)'!$B$6&amp;" "&amp;'JEUNES (2)'!$F$6</f>
        <v xml:space="preserve"> </v>
      </c>
      <c r="B17" s="475"/>
      <c r="C17" s="475"/>
      <c r="D17" s="475"/>
      <c r="E17" s="475"/>
      <c r="F17" s="475"/>
      <c r="G17" s="153" t="s">
        <v>426</v>
      </c>
      <c r="H17" s="468" t="str">
        <f>+'JEUNES (2)'!$N$6&amp;" "&amp;'JEUNES (2)'!$R$6</f>
        <v xml:space="preserve"> </v>
      </c>
      <c r="I17" s="468"/>
      <c r="J17" s="468"/>
      <c r="K17" s="468"/>
      <c r="L17" s="160"/>
      <c r="M17" s="475" t="str">
        <f>+'JEUNES (2)'!$B$6&amp;" "&amp;'JEUNES (2)'!$F$6</f>
        <v xml:space="preserve"> </v>
      </c>
      <c r="N17" s="475"/>
      <c r="O17" s="475"/>
      <c r="P17" s="475"/>
      <c r="Q17" s="475"/>
      <c r="R17" s="475"/>
      <c r="S17" s="147" t="s">
        <v>426</v>
      </c>
      <c r="T17" s="468" t="str">
        <f>+'JEUNES (2)'!$N$6&amp;" "&amp;'JEUNES (2)'!$R$6</f>
        <v xml:space="preserve"> </v>
      </c>
      <c r="U17" s="468"/>
      <c r="V17" s="468"/>
      <c r="W17" s="468"/>
      <c r="X17" s="160"/>
      <c r="Y17" s="475" t="s">
        <v>437</v>
      </c>
      <c r="Z17" s="475"/>
      <c r="AA17" s="475"/>
      <c r="AB17" s="475"/>
      <c r="AC17" s="475"/>
      <c r="AD17" s="475"/>
      <c r="AE17" s="153" t="s">
        <v>426</v>
      </c>
      <c r="AF17" s="468" t="s">
        <v>437</v>
      </c>
      <c r="AG17" s="468"/>
      <c r="AH17" s="468"/>
      <c r="AI17" s="468"/>
    </row>
    <row r="18" spans="1:35" ht="19" customHeight="1" thickBot="1" x14ac:dyDescent="0.25">
      <c r="A18" s="134" t="s">
        <v>29</v>
      </c>
      <c r="B18" s="512" t="str">
        <f>+B4</f>
        <v/>
      </c>
      <c r="C18" s="512"/>
      <c r="D18" s="512"/>
      <c r="E18" s="512"/>
      <c r="F18" s="512"/>
      <c r="G18" s="135"/>
      <c r="H18" s="136" t="s">
        <v>407</v>
      </c>
      <c r="I18" s="135"/>
      <c r="J18" s="135"/>
      <c r="K18" s="137"/>
      <c r="L18" s="155"/>
      <c r="M18" s="134" t="s">
        <v>29</v>
      </c>
      <c r="N18" s="512" t="str">
        <f>+B4</f>
        <v/>
      </c>
      <c r="O18" s="512"/>
      <c r="P18" s="512"/>
      <c r="Q18" s="512"/>
      <c r="R18" s="512"/>
      <c r="S18" s="135"/>
      <c r="T18" s="136" t="s">
        <v>407</v>
      </c>
      <c r="U18" s="135"/>
      <c r="V18" s="135"/>
      <c r="W18" s="137"/>
      <c r="X18" s="155"/>
      <c r="Y18" s="134" t="s">
        <v>29</v>
      </c>
      <c r="Z18" s="472" t="s">
        <v>437</v>
      </c>
      <c r="AA18" s="472"/>
      <c r="AB18" s="472"/>
      <c r="AC18" s="472"/>
      <c r="AD18" s="472"/>
      <c r="AE18" s="135"/>
      <c r="AF18" s="136" t="s">
        <v>407</v>
      </c>
      <c r="AG18" s="135"/>
      <c r="AH18" s="135"/>
      <c r="AI18" s="137"/>
    </row>
    <row r="19" spans="1:35" ht="19" customHeight="1" thickTop="1" x14ac:dyDescent="0.2">
      <c r="A19" s="129"/>
      <c r="B19" s="138"/>
      <c r="C19" s="138"/>
      <c r="D19" s="138"/>
      <c r="E19" s="138"/>
      <c r="F19" s="131"/>
      <c r="G19" s="131" t="s">
        <v>1021</v>
      </c>
      <c r="H19" s="131"/>
      <c r="I19" s="131"/>
      <c r="J19" s="131"/>
      <c r="K19" s="139"/>
      <c r="L19" s="155"/>
      <c r="M19" s="129"/>
      <c r="N19" s="138"/>
      <c r="O19" s="138"/>
      <c r="P19" s="138"/>
      <c r="Q19" s="138"/>
      <c r="R19" s="131"/>
      <c r="S19" s="131" t="s">
        <v>1021</v>
      </c>
      <c r="T19" s="131"/>
      <c r="U19" s="131"/>
      <c r="V19" s="131"/>
      <c r="W19" s="139"/>
      <c r="X19" s="155"/>
      <c r="Y19" s="129"/>
      <c r="Z19" s="131"/>
      <c r="AA19" s="131"/>
      <c r="AB19" s="131"/>
      <c r="AC19" s="138"/>
      <c r="AD19" s="131"/>
      <c r="AE19" s="131" t="s">
        <v>1021</v>
      </c>
      <c r="AF19" s="131"/>
      <c r="AG19" s="131"/>
      <c r="AH19" s="131"/>
      <c r="AI19" s="139"/>
    </row>
    <row r="20" spans="1:35" ht="19" customHeight="1" x14ac:dyDescent="0.25">
      <c r="A20" s="156" t="s">
        <v>405</v>
      </c>
      <c r="B20" s="474" t="s">
        <v>431</v>
      </c>
      <c r="C20" s="474"/>
      <c r="D20" s="474"/>
      <c r="E20" s="474"/>
      <c r="F20" s="474"/>
      <c r="G20" s="157" t="s">
        <v>12</v>
      </c>
      <c r="H20" s="157" t="s">
        <v>13</v>
      </c>
      <c r="I20" s="157" t="s">
        <v>14</v>
      </c>
      <c r="J20" s="157" t="s">
        <v>15</v>
      </c>
      <c r="K20" s="157" t="s">
        <v>16</v>
      </c>
      <c r="L20" s="158"/>
      <c r="M20" s="156" t="s">
        <v>405</v>
      </c>
      <c r="N20" s="474" t="s">
        <v>432</v>
      </c>
      <c r="O20" s="474"/>
      <c r="P20" s="474"/>
      <c r="Q20" s="474"/>
      <c r="R20" s="474"/>
      <c r="S20" s="157" t="s">
        <v>12</v>
      </c>
      <c r="T20" s="157" t="s">
        <v>13</v>
      </c>
      <c r="U20" s="157" t="s">
        <v>14</v>
      </c>
      <c r="V20" s="157" t="s">
        <v>15</v>
      </c>
      <c r="W20" s="157" t="s">
        <v>16</v>
      </c>
      <c r="X20" s="158"/>
      <c r="Y20" s="156" t="s">
        <v>405</v>
      </c>
      <c r="Z20" s="527"/>
      <c r="AA20" s="528"/>
      <c r="AB20" s="528"/>
      <c r="AC20" s="528"/>
      <c r="AD20" s="529"/>
      <c r="AE20" s="157" t="s">
        <v>12</v>
      </c>
      <c r="AF20" s="157" t="s">
        <v>13</v>
      </c>
      <c r="AG20" s="157" t="s">
        <v>14</v>
      </c>
      <c r="AH20" s="157" t="s">
        <v>15</v>
      </c>
      <c r="AI20" s="157" t="s">
        <v>16</v>
      </c>
    </row>
    <row r="21" spans="1:35" ht="24" customHeight="1" x14ac:dyDescent="0.2">
      <c r="A21" s="159" t="str">
        <f>+A7</f>
        <v xml:space="preserve"> </v>
      </c>
      <c r="B21" s="131"/>
      <c r="C21" s="131"/>
      <c r="D21" s="131"/>
      <c r="E21" s="131"/>
      <c r="F21" s="131"/>
      <c r="G21" s="141"/>
      <c r="H21" s="141"/>
      <c r="I21" s="141"/>
      <c r="J21" s="141"/>
      <c r="K21" s="141"/>
      <c r="L21" s="155"/>
      <c r="M21" s="159" t="str">
        <f>'JEUNES (2)'!C10</f>
        <v xml:space="preserve"> </v>
      </c>
      <c r="N21" s="131"/>
      <c r="O21" s="131"/>
      <c r="P21" s="131"/>
      <c r="Q21" s="131"/>
      <c r="R21" s="131"/>
      <c r="S21" s="141"/>
      <c r="T21" s="141"/>
      <c r="U21" s="141"/>
      <c r="V21" s="141"/>
      <c r="W21" s="141"/>
      <c r="X21" s="155"/>
      <c r="Y21" s="129"/>
      <c r="Z21" s="131"/>
      <c r="AA21" s="131"/>
      <c r="AB21" s="131"/>
      <c r="AC21" s="131"/>
      <c r="AD21" s="131"/>
      <c r="AE21" s="141"/>
      <c r="AF21" s="141"/>
      <c r="AG21" s="141"/>
      <c r="AH21" s="141"/>
      <c r="AI21" s="141"/>
    </row>
    <row r="22" spans="1:35" ht="24" customHeight="1" x14ac:dyDescent="0.2">
      <c r="A22" s="163" t="str">
        <f>'JEUNES (2)'!I10</f>
        <v/>
      </c>
      <c r="B22" s="131"/>
      <c r="C22" s="131"/>
      <c r="D22" s="131"/>
      <c r="E22" s="131"/>
      <c r="F22" s="131"/>
      <c r="G22" s="143"/>
      <c r="H22" s="143"/>
      <c r="I22" s="143"/>
      <c r="J22" s="143"/>
      <c r="K22" s="143"/>
      <c r="L22" s="155"/>
      <c r="M22" s="159" t="str">
        <f>'JEUNES (2)'!C11</f>
        <v xml:space="preserve"> </v>
      </c>
      <c r="N22" s="131"/>
      <c r="O22" s="131"/>
      <c r="P22" s="131"/>
      <c r="Q22" s="131"/>
      <c r="R22" s="131"/>
      <c r="S22" s="143"/>
      <c r="T22" s="143"/>
      <c r="U22" s="143"/>
      <c r="V22" s="143"/>
      <c r="W22" s="143"/>
      <c r="X22" s="155"/>
      <c r="Y22" s="161"/>
      <c r="Z22" s="131"/>
      <c r="AA22" s="131"/>
      <c r="AB22" s="131"/>
      <c r="AC22" s="131"/>
      <c r="AD22" s="131"/>
      <c r="AE22" s="143"/>
      <c r="AF22" s="143"/>
      <c r="AG22" s="143"/>
      <c r="AH22" s="143"/>
      <c r="AI22" s="143"/>
    </row>
    <row r="23" spans="1:35" x14ac:dyDescent="0.2">
      <c r="A23" s="142" t="s">
        <v>156</v>
      </c>
      <c r="B23" s="131"/>
      <c r="C23" s="131"/>
      <c r="D23" s="131"/>
      <c r="E23" s="131"/>
      <c r="F23" s="131"/>
      <c r="G23" s="131"/>
      <c r="H23" s="131"/>
      <c r="I23" s="131"/>
      <c r="J23" s="131"/>
      <c r="K23" s="140"/>
      <c r="L23" s="155"/>
      <c r="M23" s="142" t="s">
        <v>156</v>
      </c>
      <c r="N23" s="131"/>
      <c r="O23" s="131"/>
      <c r="P23" s="131"/>
      <c r="Q23" s="131"/>
      <c r="R23" s="131"/>
      <c r="S23" s="131"/>
      <c r="T23" s="131"/>
      <c r="U23" s="131"/>
      <c r="V23" s="131"/>
      <c r="W23" s="140"/>
      <c r="X23" s="155"/>
      <c r="Y23" s="142" t="s">
        <v>156</v>
      </c>
      <c r="Z23" s="130"/>
      <c r="AA23" s="130"/>
      <c r="AB23" s="130"/>
      <c r="AC23" s="131"/>
      <c r="AD23" s="131"/>
      <c r="AE23" s="131"/>
      <c r="AF23" s="131"/>
      <c r="AG23" s="131"/>
      <c r="AH23" s="131"/>
      <c r="AI23" s="140"/>
    </row>
    <row r="24" spans="1:35" ht="24" customHeight="1" x14ac:dyDescent="0.2">
      <c r="A24" s="159" t="str">
        <f>+M10</f>
        <v xml:space="preserve"> </v>
      </c>
      <c r="B24" s="131"/>
      <c r="C24" s="131"/>
      <c r="D24" s="131"/>
      <c r="E24" s="131"/>
      <c r="F24" s="131"/>
      <c r="G24" s="141"/>
      <c r="H24" s="141"/>
      <c r="I24" s="141"/>
      <c r="J24" s="141"/>
      <c r="K24" s="141"/>
      <c r="L24" s="155"/>
      <c r="M24" s="159" t="str">
        <f>'JEUNES (2)'!Q10</f>
        <v xml:space="preserve"> </v>
      </c>
      <c r="N24" s="131"/>
      <c r="O24" s="131"/>
      <c r="P24" s="131"/>
      <c r="Q24" s="131"/>
      <c r="R24" s="131"/>
      <c r="S24" s="141"/>
      <c r="T24" s="141"/>
      <c r="U24" s="141"/>
      <c r="V24" s="141"/>
      <c r="W24" s="141"/>
      <c r="X24" s="155"/>
      <c r="Y24" s="129"/>
      <c r="Z24" s="131"/>
      <c r="AA24" s="131"/>
      <c r="AB24" s="131"/>
      <c r="AC24" s="131"/>
      <c r="AD24" s="131"/>
      <c r="AE24" s="141"/>
      <c r="AF24" s="141"/>
      <c r="AG24" s="141"/>
      <c r="AH24" s="141"/>
      <c r="AI24" s="141"/>
    </row>
    <row r="25" spans="1:35" ht="24" customHeight="1" x14ac:dyDescent="0.2">
      <c r="A25" s="163" t="str">
        <f>'JEUNES (2)'!X11</f>
        <v/>
      </c>
      <c r="B25" s="131"/>
      <c r="C25" s="131"/>
      <c r="D25" s="131"/>
      <c r="E25" s="131"/>
      <c r="F25" s="131"/>
      <c r="G25" s="143"/>
      <c r="H25" s="143"/>
      <c r="I25" s="143"/>
      <c r="J25" s="143"/>
      <c r="K25" s="143"/>
      <c r="L25" s="155"/>
      <c r="M25" s="159" t="str">
        <f>'JEUNES (2)'!Q11</f>
        <v xml:space="preserve"> </v>
      </c>
      <c r="N25" s="131"/>
      <c r="O25" s="131"/>
      <c r="P25" s="131"/>
      <c r="Q25" s="131"/>
      <c r="R25" s="131"/>
      <c r="S25" s="143"/>
      <c r="T25" s="143"/>
      <c r="U25" s="143"/>
      <c r="V25" s="143"/>
      <c r="W25" s="143"/>
      <c r="X25" s="155"/>
      <c r="Y25" s="129"/>
      <c r="Z25" s="131"/>
      <c r="AA25" s="131"/>
      <c r="AB25" s="131"/>
      <c r="AC25" s="131"/>
      <c r="AD25" s="131"/>
      <c r="AE25" s="143"/>
      <c r="AF25" s="143"/>
      <c r="AG25" s="143"/>
      <c r="AH25" s="143"/>
      <c r="AI25" s="143"/>
    </row>
    <row r="26" spans="1:35" ht="18" customHeight="1" x14ac:dyDescent="0.2">
      <c r="A26" s="144" t="s">
        <v>406</v>
      </c>
      <c r="B26" s="131" t="s">
        <v>411</v>
      </c>
      <c r="C26" s="131" t="str">
        <f>'JEUNES (2)'!C11</f>
        <v xml:space="preserve"> </v>
      </c>
      <c r="D26" s="131"/>
      <c r="E26" s="131"/>
      <c r="F26" s="131"/>
      <c r="G26" s="131"/>
      <c r="H26" s="131"/>
      <c r="I26" s="131"/>
      <c r="J26" s="131"/>
      <c r="K26" s="139"/>
      <c r="L26" s="155"/>
      <c r="M26" s="144" t="s">
        <v>406</v>
      </c>
      <c r="N26" s="131"/>
      <c r="O26" s="131"/>
      <c r="P26" s="131"/>
      <c r="Q26" s="131"/>
      <c r="R26" s="131"/>
      <c r="S26" s="131"/>
      <c r="T26" s="131"/>
      <c r="U26" s="131"/>
      <c r="V26" s="131"/>
      <c r="W26" s="139"/>
      <c r="X26" s="155"/>
      <c r="Y26" s="144" t="s">
        <v>406</v>
      </c>
      <c r="Z26" s="145"/>
      <c r="AA26" s="145"/>
      <c r="AB26" s="145"/>
      <c r="AC26" s="131"/>
      <c r="AD26" s="131"/>
      <c r="AE26" s="131"/>
      <c r="AF26" s="131"/>
      <c r="AG26" s="131"/>
      <c r="AH26" s="131"/>
      <c r="AI26" s="139"/>
    </row>
    <row r="27" spans="1:35" ht="18" customHeight="1" x14ac:dyDescent="0.2">
      <c r="A27" s="146"/>
      <c r="B27" s="147"/>
      <c r="C27" s="147"/>
      <c r="D27" s="147"/>
      <c r="E27" s="147"/>
      <c r="F27" s="147"/>
      <c r="G27" s="147"/>
      <c r="H27" s="147"/>
      <c r="I27" s="147"/>
      <c r="J27" s="147"/>
      <c r="K27" s="148"/>
      <c r="L27" s="155"/>
      <c r="M27" s="146"/>
      <c r="N27" s="147"/>
      <c r="O27" s="147"/>
      <c r="P27" s="147"/>
      <c r="Q27" s="147"/>
      <c r="R27" s="147"/>
      <c r="S27" s="147"/>
      <c r="T27" s="147"/>
      <c r="U27" s="147"/>
      <c r="V27" s="147"/>
      <c r="W27" s="148"/>
      <c r="X27" s="155"/>
      <c r="Y27" s="146"/>
      <c r="Z27" s="147"/>
      <c r="AA27" s="147"/>
      <c r="AB27" s="147"/>
      <c r="AC27" s="147"/>
      <c r="AD27" s="147"/>
      <c r="AE27" s="147"/>
      <c r="AF27" s="147"/>
      <c r="AG27" s="147"/>
      <c r="AH27" s="147"/>
      <c r="AI27" s="148"/>
    </row>
    <row r="28" spans="1:35" ht="2" customHeight="1" x14ac:dyDescent="0.2">
      <c r="A28" s="155"/>
      <c r="B28" s="155"/>
      <c r="C28" s="155"/>
      <c r="D28" s="155"/>
      <c r="E28" s="155"/>
      <c r="F28" s="155"/>
      <c r="G28" s="155"/>
      <c r="H28" s="155"/>
      <c r="I28" s="155"/>
      <c r="J28" s="155"/>
      <c r="K28" s="155"/>
      <c r="L28" s="155"/>
      <c r="M28" s="155"/>
      <c r="N28" s="155"/>
      <c r="O28" s="155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5"/>
      <c r="AG28" s="155"/>
      <c r="AH28" s="155"/>
      <c r="AI28" s="155"/>
    </row>
    <row r="29" spans="1:35" ht="19" customHeight="1" x14ac:dyDescent="0.2">
      <c r="A29" s="469" t="s">
        <v>437</v>
      </c>
      <c r="B29" s="469"/>
      <c r="C29" s="469"/>
      <c r="D29" s="469"/>
      <c r="E29" s="469"/>
      <c r="F29" s="469"/>
      <c r="G29" s="469"/>
      <c r="H29" s="469"/>
      <c r="I29" s="469"/>
      <c r="J29" s="469"/>
      <c r="K29" s="469"/>
      <c r="L29" s="151"/>
      <c r="M29" s="469" t="s">
        <v>437</v>
      </c>
      <c r="N29" s="469"/>
      <c r="O29" s="469"/>
      <c r="P29" s="469"/>
      <c r="Q29" s="469"/>
      <c r="R29" s="469"/>
      <c r="S29" s="469"/>
      <c r="T29" s="469"/>
      <c r="U29" s="469"/>
      <c r="V29" s="469"/>
      <c r="W29" s="469"/>
      <c r="X29" s="151"/>
      <c r="Y29" s="469" t="s">
        <v>437</v>
      </c>
      <c r="Z29" s="469"/>
      <c r="AA29" s="469"/>
      <c r="AB29" s="469"/>
      <c r="AC29" s="469"/>
      <c r="AD29" s="469"/>
      <c r="AE29" s="469"/>
      <c r="AF29" s="469"/>
      <c r="AG29" s="469"/>
      <c r="AH29" s="469"/>
      <c r="AI29" s="469"/>
    </row>
    <row r="30" spans="1:35" ht="19" customHeight="1" x14ac:dyDescent="0.2">
      <c r="A30" s="129"/>
      <c r="B30" s="131"/>
      <c r="C30" s="131"/>
      <c r="D30" s="131"/>
      <c r="E30" s="470"/>
      <c r="F30" s="470"/>
      <c r="G30" s="130" t="s">
        <v>28</v>
      </c>
      <c r="H30" s="133"/>
      <c r="I30" s="131" t="s">
        <v>427</v>
      </c>
      <c r="J30" s="131"/>
      <c r="K30" s="132"/>
      <c r="L30" s="152"/>
      <c r="M30" s="129"/>
      <c r="N30" s="131"/>
      <c r="O30" s="131"/>
      <c r="P30" s="131"/>
      <c r="Q30" s="470"/>
      <c r="R30" s="470"/>
      <c r="S30" s="130" t="s">
        <v>28</v>
      </c>
      <c r="T30" s="133"/>
      <c r="U30" s="131" t="s">
        <v>427</v>
      </c>
      <c r="V30" s="131"/>
      <c r="W30" s="132"/>
      <c r="X30" s="152"/>
      <c r="Y30" s="129"/>
      <c r="Z30" s="131"/>
      <c r="AA30" s="131"/>
      <c r="AB30" s="131"/>
      <c r="AC30" s="470"/>
      <c r="AD30" s="470"/>
      <c r="AE30" s="130" t="s">
        <v>28</v>
      </c>
      <c r="AF30" s="133"/>
      <c r="AG30" s="131" t="s">
        <v>427</v>
      </c>
      <c r="AH30" s="131"/>
      <c r="AI30" s="132"/>
    </row>
    <row r="31" spans="1:35" ht="19" customHeight="1" x14ac:dyDescent="0.2">
      <c r="A31" s="475" t="s">
        <v>437</v>
      </c>
      <c r="B31" s="475"/>
      <c r="C31" s="475"/>
      <c r="D31" s="475"/>
      <c r="E31" s="475"/>
      <c r="F31" s="475"/>
      <c r="G31" s="153" t="s">
        <v>426</v>
      </c>
      <c r="H31" s="468" t="s">
        <v>437</v>
      </c>
      <c r="I31" s="468"/>
      <c r="J31" s="468"/>
      <c r="K31" s="468"/>
      <c r="L31" s="160"/>
      <c r="M31" s="475" t="s">
        <v>437</v>
      </c>
      <c r="N31" s="475"/>
      <c r="O31" s="475"/>
      <c r="P31" s="475"/>
      <c r="Q31" s="475"/>
      <c r="R31" s="475"/>
      <c r="S31" s="153" t="s">
        <v>426</v>
      </c>
      <c r="T31" s="468" t="s">
        <v>437</v>
      </c>
      <c r="U31" s="468"/>
      <c r="V31" s="468"/>
      <c r="W31" s="468"/>
      <c r="X31" s="160"/>
      <c r="Y31" s="475" t="s">
        <v>437</v>
      </c>
      <c r="Z31" s="475"/>
      <c r="AA31" s="475"/>
      <c r="AB31" s="475"/>
      <c r="AC31" s="475"/>
      <c r="AD31" s="475"/>
      <c r="AE31" s="153" t="s">
        <v>426</v>
      </c>
      <c r="AF31" s="468" t="s">
        <v>437</v>
      </c>
      <c r="AG31" s="468"/>
      <c r="AH31" s="468"/>
      <c r="AI31" s="468"/>
    </row>
    <row r="32" spans="1:35" ht="19" customHeight="1" thickBot="1" x14ac:dyDescent="0.25">
      <c r="A32" s="134" t="s">
        <v>29</v>
      </c>
      <c r="B32" s="472" t="s">
        <v>437</v>
      </c>
      <c r="C32" s="472"/>
      <c r="D32" s="472"/>
      <c r="E32" s="472"/>
      <c r="F32" s="472"/>
      <c r="G32" s="135"/>
      <c r="H32" s="136" t="s">
        <v>407</v>
      </c>
      <c r="I32" s="135"/>
      <c r="J32" s="135"/>
      <c r="K32" s="137"/>
      <c r="L32" s="155"/>
      <c r="M32" s="134" t="s">
        <v>29</v>
      </c>
      <c r="N32" s="472" t="s">
        <v>437</v>
      </c>
      <c r="O32" s="472"/>
      <c r="P32" s="472"/>
      <c r="Q32" s="472"/>
      <c r="R32" s="472"/>
      <c r="S32" s="135"/>
      <c r="T32" s="136" t="s">
        <v>407</v>
      </c>
      <c r="U32" s="135"/>
      <c r="V32" s="135"/>
      <c r="W32" s="137"/>
      <c r="X32" s="155"/>
      <c r="Y32" s="134" t="s">
        <v>29</v>
      </c>
      <c r="Z32" s="472" t="s">
        <v>437</v>
      </c>
      <c r="AA32" s="472"/>
      <c r="AB32" s="472"/>
      <c r="AC32" s="472"/>
      <c r="AD32" s="472"/>
      <c r="AE32" s="135"/>
      <c r="AF32" s="136" t="s">
        <v>407</v>
      </c>
      <c r="AG32" s="135"/>
      <c r="AH32" s="135"/>
      <c r="AI32" s="137"/>
    </row>
    <row r="33" spans="1:35" ht="19" customHeight="1" thickTop="1" x14ac:dyDescent="0.2">
      <c r="A33" s="129"/>
      <c r="B33" s="131"/>
      <c r="C33" s="131"/>
      <c r="D33" s="131"/>
      <c r="E33" s="138"/>
      <c r="F33" s="131"/>
      <c r="G33" s="131" t="s">
        <v>1021</v>
      </c>
      <c r="H33" s="131"/>
      <c r="I33" s="131"/>
      <c r="J33" s="131"/>
      <c r="K33" s="139"/>
      <c r="L33" s="155"/>
      <c r="M33" s="129"/>
      <c r="N33" s="131"/>
      <c r="O33" s="131"/>
      <c r="P33" s="131"/>
      <c r="Q33" s="138"/>
      <c r="R33" s="131"/>
      <c r="S33" s="131" t="s">
        <v>1021</v>
      </c>
      <c r="T33" s="131"/>
      <c r="U33" s="131"/>
      <c r="V33" s="131"/>
      <c r="W33" s="139"/>
      <c r="X33" s="155"/>
      <c r="Y33" s="129"/>
      <c r="Z33" s="131"/>
      <c r="AA33" s="131"/>
      <c r="AB33" s="131"/>
      <c r="AC33" s="138"/>
      <c r="AD33" s="131"/>
      <c r="AE33" s="131" t="s">
        <v>1021</v>
      </c>
      <c r="AF33" s="131"/>
      <c r="AG33" s="131"/>
      <c r="AH33" s="131"/>
      <c r="AI33" s="139"/>
    </row>
    <row r="34" spans="1:35" ht="19" customHeight="1" x14ac:dyDescent="0.25">
      <c r="A34" s="156" t="s">
        <v>405</v>
      </c>
      <c r="B34" s="527"/>
      <c r="C34" s="528"/>
      <c r="D34" s="528"/>
      <c r="E34" s="528"/>
      <c r="F34" s="529"/>
      <c r="G34" s="157" t="s">
        <v>12</v>
      </c>
      <c r="H34" s="157" t="s">
        <v>13</v>
      </c>
      <c r="I34" s="157" t="s">
        <v>14</v>
      </c>
      <c r="J34" s="157" t="s">
        <v>15</v>
      </c>
      <c r="K34" s="157" t="s">
        <v>16</v>
      </c>
      <c r="L34" s="158"/>
      <c r="M34" s="156" t="s">
        <v>405</v>
      </c>
      <c r="N34" s="527"/>
      <c r="O34" s="528"/>
      <c r="P34" s="528"/>
      <c r="Q34" s="528"/>
      <c r="R34" s="529"/>
      <c r="S34" s="157" t="s">
        <v>12</v>
      </c>
      <c r="T34" s="157" t="s">
        <v>13</v>
      </c>
      <c r="U34" s="157" t="s">
        <v>14</v>
      </c>
      <c r="V34" s="157" t="s">
        <v>15</v>
      </c>
      <c r="W34" s="157" t="s">
        <v>16</v>
      </c>
      <c r="X34" s="158"/>
      <c r="Y34" s="156" t="s">
        <v>405</v>
      </c>
      <c r="Z34" s="527"/>
      <c r="AA34" s="528"/>
      <c r="AB34" s="528"/>
      <c r="AC34" s="528"/>
      <c r="AD34" s="529"/>
      <c r="AE34" s="157" t="s">
        <v>12</v>
      </c>
      <c r="AF34" s="157" t="s">
        <v>13</v>
      </c>
      <c r="AG34" s="157" t="s">
        <v>14</v>
      </c>
      <c r="AH34" s="157" t="s">
        <v>15</v>
      </c>
      <c r="AI34" s="157" t="s">
        <v>16</v>
      </c>
    </row>
    <row r="35" spans="1:35" ht="24" customHeight="1" x14ac:dyDescent="0.2">
      <c r="A35" s="129"/>
      <c r="B35" s="131"/>
      <c r="C35" s="131"/>
      <c r="D35" s="131"/>
      <c r="E35" s="131"/>
      <c r="F35" s="131"/>
      <c r="G35" s="141"/>
      <c r="H35" s="141"/>
      <c r="I35" s="141"/>
      <c r="J35" s="141"/>
      <c r="K35" s="141"/>
      <c r="L35" s="155"/>
      <c r="M35" s="129"/>
      <c r="N35" s="131"/>
      <c r="O35" s="131"/>
      <c r="P35" s="131"/>
      <c r="Q35" s="131"/>
      <c r="R35" s="131"/>
      <c r="S35" s="141"/>
      <c r="T35" s="141"/>
      <c r="U35" s="141"/>
      <c r="V35" s="141"/>
      <c r="W35" s="141"/>
      <c r="X35" s="155"/>
      <c r="Y35" s="129"/>
      <c r="Z35" s="131"/>
      <c r="AA35" s="131"/>
      <c r="AB35" s="131"/>
      <c r="AC35" s="131"/>
      <c r="AD35" s="131"/>
      <c r="AE35" s="141"/>
      <c r="AF35" s="141"/>
      <c r="AG35" s="141"/>
      <c r="AH35" s="141"/>
      <c r="AI35" s="141"/>
    </row>
    <row r="36" spans="1:35" ht="24" customHeight="1" x14ac:dyDescent="0.2">
      <c r="A36" s="161"/>
      <c r="B36" s="131"/>
      <c r="C36" s="131"/>
      <c r="D36" s="131"/>
      <c r="E36" s="131"/>
      <c r="F36" s="131"/>
      <c r="G36" s="143"/>
      <c r="H36" s="143"/>
      <c r="I36" s="143"/>
      <c r="J36" s="143"/>
      <c r="K36" s="143"/>
      <c r="L36" s="155"/>
      <c r="M36" s="161"/>
      <c r="N36" s="131"/>
      <c r="O36" s="131"/>
      <c r="P36" s="131"/>
      <c r="Q36" s="131"/>
      <c r="R36" s="131"/>
      <c r="S36" s="143"/>
      <c r="T36" s="143"/>
      <c r="U36" s="143"/>
      <c r="V36" s="143"/>
      <c r="W36" s="143"/>
      <c r="X36" s="155"/>
      <c r="Y36" s="161"/>
      <c r="Z36" s="131"/>
      <c r="AA36" s="131"/>
      <c r="AB36" s="131"/>
      <c r="AC36" s="131"/>
      <c r="AD36" s="131"/>
      <c r="AE36" s="143"/>
      <c r="AF36" s="143"/>
      <c r="AG36" s="143"/>
      <c r="AH36" s="143"/>
      <c r="AI36" s="143"/>
    </row>
    <row r="37" spans="1:35" ht="26" customHeight="1" x14ac:dyDescent="0.2">
      <c r="A37" s="142" t="s">
        <v>156</v>
      </c>
      <c r="B37" s="130"/>
      <c r="C37" s="130"/>
      <c r="D37" s="130"/>
      <c r="E37" s="131"/>
      <c r="F37" s="131"/>
      <c r="G37" s="131"/>
      <c r="H37" s="131"/>
      <c r="I37" s="131"/>
      <c r="J37" s="131"/>
      <c r="K37" s="140"/>
      <c r="L37" s="155"/>
      <c r="M37" s="142" t="s">
        <v>156</v>
      </c>
      <c r="N37" s="130"/>
      <c r="O37" s="130"/>
      <c r="P37" s="130"/>
      <c r="Q37" s="131"/>
      <c r="R37" s="131"/>
      <c r="S37" s="131"/>
      <c r="T37" s="131"/>
      <c r="U37" s="131"/>
      <c r="V37" s="131"/>
      <c r="W37" s="140"/>
      <c r="X37" s="155"/>
      <c r="Y37" s="142" t="s">
        <v>156</v>
      </c>
      <c r="Z37" s="130"/>
      <c r="AA37" s="130"/>
      <c r="AB37" s="130"/>
      <c r="AC37" s="131"/>
      <c r="AD37" s="131"/>
      <c r="AE37" s="131"/>
      <c r="AF37" s="131"/>
      <c r="AG37" s="131"/>
      <c r="AH37" s="131"/>
      <c r="AI37" s="140"/>
    </row>
    <row r="38" spans="1:35" ht="24" customHeight="1" x14ac:dyDescent="0.2">
      <c r="A38" s="129"/>
      <c r="B38" s="131"/>
      <c r="C38" s="131"/>
      <c r="D38" s="131"/>
      <c r="E38" s="131"/>
      <c r="F38" s="131"/>
      <c r="G38" s="141"/>
      <c r="H38" s="141"/>
      <c r="I38" s="141"/>
      <c r="J38" s="141"/>
      <c r="K38" s="141"/>
      <c r="L38" s="155"/>
      <c r="M38" s="129"/>
      <c r="N38" s="131"/>
      <c r="O38" s="131"/>
      <c r="P38" s="131"/>
      <c r="Q38" s="131"/>
      <c r="R38" s="131"/>
      <c r="S38" s="141"/>
      <c r="T38" s="141"/>
      <c r="U38" s="141"/>
      <c r="V38" s="141"/>
      <c r="W38" s="141"/>
      <c r="X38" s="155"/>
      <c r="Y38" s="129"/>
      <c r="Z38" s="131"/>
      <c r="AA38" s="131"/>
      <c r="AB38" s="131"/>
      <c r="AC38" s="131"/>
      <c r="AD38" s="131"/>
      <c r="AE38" s="141"/>
      <c r="AF38" s="141"/>
      <c r="AG38" s="141"/>
      <c r="AH38" s="141"/>
      <c r="AI38" s="141"/>
    </row>
    <row r="39" spans="1:35" ht="24" customHeight="1" x14ac:dyDescent="0.2">
      <c r="A39" s="129"/>
      <c r="B39" s="131"/>
      <c r="C39" s="131"/>
      <c r="D39" s="131"/>
      <c r="E39" s="131"/>
      <c r="F39" s="131"/>
      <c r="G39" s="143"/>
      <c r="H39" s="143"/>
      <c r="I39" s="143"/>
      <c r="J39" s="143"/>
      <c r="K39" s="143"/>
      <c r="L39" s="155"/>
      <c r="M39" s="129"/>
      <c r="N39" s="131"/>
      <c r="O39" s="131"/>
      <c r="P39" s="131"/>
      <c r="Q39" s="131"/>
      <c r="R39" s="131"/>
      <c r="S39" s="143"/>
      <c r="T39" s="143"/>
      <c r="U39" s="143"/>
      <c r="V39" s="143"/>
      <c r="W39" s="143"/>
      <c r="X39" s="155"/>
      <c r="Y39" s="129"/>
      <c r="Z39" s="131"/>
      <c r="AA39" s="131"/>
      <c r="AB39" s="131"/>
      <c r="AC39" s="131"/>
      <c r="AD39" s="131"/>
      <c r="AE39" s="143"/>
      <c r="AF39" s="143"/>
      <c r="AG39" s="143"/>
      <c r="AH39" s="143"/>
      <c r="AI39" s="143"/>
    </row>
    <row r="40" spans="1:35" ht="21" customHeight="1" x14ac:dyDescent="0.2">
      <c r="A40" s="144" t="s">
        <v>406</v>
      </c>
      <c r="B40" s="145"/>
      <c r="C40" s="145"/>
      <c r="D40" s="145"/>
      <c r="E40" s="131"/>
      <c r="F40" s="131"/>
      <c r="G40" s="131"/>
      <c r="H40" s="131"/>
      <c r="I40" s="131"/>
      <c r="J40" s="131"/>
      <c r="K40" s="139"/>
      <c r="L40" s="155"/>
      <c r="M40" s="144" t="s">
        <v>406</v>
      </c>
      <c r="N40" s="145"/>
      <c r="O40" s="145"/>
      <c r="P40" s="145"/>
      <c r="Q40" s="131"/>
      <c r="R40" s="131"/>
      <c r="S40" s="131"/>
      <c r="T40" s="131"/>
      <c r="U40" s="131"/>
      <c r="V40" s="131"/>
      <c r="W40" s="139"/>
      <c r="X40" s="155"/>
      <c r="Y40" s="144" t="s">
        <v>406</v>
      </c>
      <c r="Z40" s="145"/>
      <c r="AA40" s="145"/>
      <c r="AB40" s="145"/>
      <c r="AC40" s="131"/>
      <c r="AD40" s="131"/>
      <c r="AE40" s="131"/>
      <c r="AF40" s="131"/>
      <c r="AG40" s="131"/>
      <c r="AH40" s="131"/>
      <c r="AI40" s="139"/>
    </row>
    <row r="41" spans="1:35" ht="21" customHeight="1" x14ac:dyDescent="0.2">
      <c r="A41" s="146"/>
      <c r="B41" s="147"/>
      <c r="C41" s="147"/>
      <c r="D41" s="147"/>
      <c r="E41" s="147"/>
      <c r="F41" s="147"/>
      <c r="G41" s="147"/>
      <c r="H41" s="147"/>
      <c r="I41" s="147"/>
      <c r="J41" s="147"/>
      <c r="K41" s="148"/>
      <c r="L41" s="155"/>
      <c r="M41" s="146"/>
      <c r="N41" s="147"/>
      <c r="O41" s="147"/>
      <c r="P41" s="147"/>
      <c r="Q41" s="147"/>
      <c r="R41" s="147"/>
      <c r="S41" s="147"/>
      <c r="T41" s="147"/>
      <c r="U41" s="147"/>
      <c r="V41" s="147"/>
      <c r="W41" s="148"/>
      <c r="X41" s="155"/>
      <c r="Y41" s="146"/>
      <c r="Z41" s="147"/>
      <c r="AA41" s="147"/>
      <c r="AB41" s="147"/>
      <c r="AC41" s="147"/>
      <c r="AD41" s="147"/>
      <c r="AE41" s="147"/>
      <c r="AF41" s="147"/>
      <c r="AG41" s="147"/>
      <c r="AH41" s="147"/>
      <c r="AI41" s="148"/>
    </row>
    <row r="42" spans="1:35" ht="2" customHeight="1" x14ac:dyDescent="0.2">
      <c r="A42" s="155"/>
      <c r="B42" s="155"/>
      <c r="C42" s="155"/>
      <c r="D42" s="155"/>
      <c r="E42" s="155"/>
      <c r="F42" s="155"/>
      <c r="G42" s="155"/>
      <c r="H42" s="155"/>
      <c r="I42" s="155"/>
      <c r="J42" s="155"/>
      <c r="K42" s="155"/>
      <c r="L42" s="155"/>
      <c r="M42" s="155"/>
      <c r="N42" s="155"/>
      <c r="O42" s="155"/>
      <c r="P42" s="155"/>
      <c r="Q42" s="155"/>
      <c r="R42" s="155"/>
      <c r="S42" s="155"/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  <c r="AF42" s="155"/>
      <c r="AG42" s="155"/>
      <c r="AH42" s="155"/>
      <c r="AI42" s="155"/>
    </row>
    <row r="43" spans="1:35" ht="19" customHeight="1" x14ac:dyDescent="0.2">
      <c r="A43" s="469" t="s">
        <v>437</v>
      </c>
      <c r="B43" s="469"/>
      <c r="C43" s="469"/>
      <c r="D43" s="469"/>
      <c r="E43" s="469"/>
      <c r="F43" s="469"/>
      <c r="G43" s="469"/>
      <c r="H43" s="469"/>
      <c r="I43" s="469"/>
      <c r="J43" s="469"/>
      <c r="K43" s="469"/>
      <c r="L43" s="151"/>
      <c r="M43" s="469" t="s">
        <v>437</v>
      </c>
      <c r="N43" s="469"/>
      <c r="O43" s="469"/>
      <c r="P43" s="469"/>
      <c r="Q43" s="469"/>
      <c r="R43" s="469"/>
      <c r="S43" s="469"/>
      <c r="T43" s="469"/>
      <c r="U43" s="469"/>
      <c r="V43" s="469"/>
      <c r="W43" s="469"/>
      <c r="X43" s="151"/>
      <c r="Y43" s="469" t="s">
        <v>437</v>
      </c>
      <c r="Z43" s="469"/>
      <c r="AA43" s="469"/>
      <c r="AB43" s="469"/>
      <c r="AC43" s="469"/>
      <c r="AD43" s="469"/>
      <c r="AE43" s="469"/>
      <c r="AF43" s="469"/>
      <c r="AG43" s="469"/>
      <c r="AH43" s="469"/>
      <c r="AI43" s="469"/>
    </row>
    <row r="44" spans="1:35" ht="19" customHeight="1" x14ac:dyDescent="0.2">
      <c r="A44" s="129"/>
      <c r="B44" s="131"/>
      <c r="C44" s="131"/>
      <c r="D44" s="131"/>
      <c r="E44" s="470"/>
      <c r="F44" s="470"/>
      <c r="G44" s="130" t="s">
        <v>28</v>
      </c>
      <c r="H44" s="133"/>
      <c r="I44" s="131" t="s">
        <v>427</v>
      </c>
      <c r="J44" s="131"/>
      <c r="K44" s="132"/>
      <c r="L44" s="152"/>
      <c r="M44" s="129"/>
      <c r="N44" s="470" t="s">
        <v>437</v>
      </c>
      <c r="O44" s="470"/>
      <c r="P44" s="470"/>
      <c r="Q44" s="470"/>
      <c r="R44" s="470"/>
      <c r="S44" s="130" t="s">
        <v>28</v>
      </c>
      <c r="T44" s="133" t="s">
        <v>437</v>
      </c>
      <c r="U44" s="131" t="s">
        <v>427</v>
      </c>
      <c r="V44" s="131"/>
      <c r="W44" s="132" t="s">
        <v>437</v>
      </c>
      <c r="X44" s="152"/>
      <c r="Y44" s="129"/>
      <c r="Z44" s="131"/>
      <c r="AA44" s="131"/>
      <c r="AB44" s="131"/>
      <c r="AC44" s="470"/>
      <c r="AD44" s="470"/>
      <c r="AE44" s="130" t="s">
        <v>28</v>
      </c>
      <c r="AF44" s="133"/>
      <c r="AG44" s="131" t="s">
        <v>427</v>
      </c>
      <c r="AH44" s="131"/>
      <c r="AI44" s="132"/>
    </row>
    <row r="45" spans="1:35" ht="19" customHeight="1" x14ac:dyDescent="0.2">
      <c r="A45" s="475" t="s">
        <v>437</v>
      </c>
      <c r="B45" s="475"/>
      <c r="C45" s="475"/>
      <c r="D45" s="475"/>
      <c r="E45" s="475"/>
      <c r="F45" s="475"/>
      <c r="G45" s="153" t="s">
        <v>426</v>
      </c>
      <c r="H45" s="468" t="s">
        <v>437</v>
      </c>
      <c r="I45" s="468"/>
      <c r="J45" s="468"/>
      <c r="K45" s="468"/>
      <c r="L45" s="160"/>
      <c r="M45" s="475" t="s">
        <v>437</v>
      </c>
      <c r="N45" s="475"/>
      <c r="O45" s="475"/>
      <c r="P45" s="475"/>
      <c r="Q45" s="475"/>
      <c r="R45" s="475"/>
      <c r="S45" s="147" t="s">
        <v>426</v>
      </c>
      <c r="T45" s="468" t="s">
        <v>437</v>
      </c>
      <c r="U45" s="468"/>
      <c r="V45" s="468"/>
      <c r="W45" s="468"/>
      <c r="X45" s="160"/>
      <c r="Y45" s="475" t="s">
        <v>437</v>
      </c>
      <c r="Z45" s="475"/>
      <c r="AA45" s="475"/>
      <c r="AB45" s="475"/>
      <c r="AC45" s="475"/>
      <c r="AD45" s="475"/>
      <c r="AE45" s="153" t="s">
        <v>426</v>
      </c>
      <c r="AF45" s="468" t="s">
        <v>437</v>
      </c>
      <c r="AG45" s="468"/>
      <c r="AH45" s="468"/>
      <c r="AI45" s="468"/>
    </row>
    <row r="46" spans="1:35" ht="19" customHeight="1" thickBot="1" x14ac:dyDescent="0.25">
      <c r="A46" s="134" t="s">
        <v>29</v>
      </c>
      <c r="B46" s="472" t="s">
        <v>437</v>
      </c>
      <c r="C46" s="472"/>
      <c r="D46" s="472"/>
      <c r="E46" s="472"/>
      <c r="F46" s="472"/>
      <c r="G46" s="135"/>
      <c r="H46" s="136" t="s">
        <v>407</v>
      </c>
      <c r="I46" s="135"/>
      <c r="J46" s="135"/>
      <c r="K46" s="137"/>
      <c r="L46" s="155"/>
      <c r="M46" s="134" t="s">
        <v>29</v>
      </c>
      <c r="N46" s="472" t="s">
        <v>437</v>
      </c>
      <c r="O46" s="472"/>
      <c r="P46" s="472"/>
      <c r="Q46" s="472"/>
      <c r="R46" s="472"/>
      <c r="S46" s="135"/>
      <c r="T46" s="136" t="s">
        <v>407</v>
      </c>
      <c r="U46" s="135"/>
      <c r="V46" s="135"/>
      <c r="W46" s="137"/>
      <c r="X46" s="155"/>
      <c r="Y46" s="134" t="s">
        <v>29</v>
      </c>
      <c r="Z46" s="472" t="s">
        <v>437</v>
      </c>
      <c r="AA46" s="472"/>
      <c r="AB46" s="472"/>
      <c r="AC46" s="472"/>
      <c r="AD46" s="472"/>
      <c r="AE46" s="135"/>
      <c r="AF46" s="136" t="s">
        <v>407</v>
      </c>
      <c r="AG46" s="135"/>
      <c r="AH46" s="135"/>
      <c r="AI46" s="137"/>
    </row>
    <row r="47" spans="1:35" ht="19" customHeight="1" thickTop="1" x14ac:dyDescent="0.2">
      <c r="A47" s="129"/>
      <c r="B47" s="131"/>
      <c r="C47" s="131"/>
      <c r="D47" s="131"/>
      <c r="E47" s="138"/>
      <c r="F47" s="131"/>
      <c r="G47" s="131" t="s">
        <v>1021</v>
      </c>
      <c r="H47" s="131"/>
      <c r="I47" s="131"/>
      <c r="J47" s="131"/>
      <c r="K47" s="139"/>
      <c r="L47" s="155"/>
      <c r="M47" s="129"/>
      <c r="N47" s="138"/>
      <c r="O47" s="138"/>
      <c r="P47" s="138"/>
      <c r="Q47" s="138"/>
      <c r="R47" s="131"/>
      <c r="S47" s="131" t="s">
        <v>1021</v>
      </c>
      <c r="T47" s="131"/>
      <c r="U47" s="131"/>
      <c r="V47" s="131"/>
      <c r="W47" s="139"/>
      <c r="X47" s="155"/>
      <c r="Y47" s="129"/>
      <c r="Z47" s="131"/>
      <c r="AA47" s="131"/>
      <c r="AB47" s="131"/>
      <c r="AC47" s="138"/>
      <c r="AD47" s="131"/>
      <c r="AE47" s="131" t="s">
        <v>1021</v>
      </c>
      <c r="AF47" s="131"/>
      <c r="AG47" s="131"/>
      <c r="AH47" s="131"/>
      <c r="AI47" s="139"/>
    </row>
    <row r="48" spans="1:35" ht="19" customHeight="1" x14ac:dyDescent="0.25">
      <c r="A48" s="156" t="s">
        <v>405</v>
      </c>
      <c r="B48" s="527"/>
      <c r="C48" s="528"/>
      <c r="D48" s="528"/>
      <c r="E48" s="528"/>
      <c r="F48" s="529"/>
      <c r="G48" s="157" t="s">
        <v>12</v>
      </c>
      <c r="H48" s="157" t="s">
        <v>13</v>
      </c>
      <c r="I48" s="157" t="s">
        <v>14</v>
      </c>
      <c r="J48" s="157" t="s">
        <v>15</v>
      </c>
      <c r="K48" s="157" t="s">
        <v>16</v>
      </c>
      <c r="L48" s="158"/>
      <c r="M48" s="156" t="s">
        <v>405</v>
      </c>
      <c r="N48" s="474"/>
      <c r="O48" s="474"/>
      <c r="P48" s="474"/>
      <c r="Q48" s="474"/>
      <c r="R48" s="474"/>
      <c r="S48" s="157" t="s">
        <v>12</v>
      </c>
      <c r="T48" s="157" t="s">
        <v>13</v>
      </c>
      <c r="U48" s="157" t="s">
        <v>14</v>
      </c>
      <c r="V48" s="157" t="s">
        <v>15</v>
      </c>
      <c r="W48" s="157" t="s">
        <v>16</v>
      </c>
      <c r="X48" s="158"/>
      <c r="Y48" s="156" t="s">
        <v>405</v>
      </c>
      <c r="Z48" s="527"/>
      <c r="AA48" s="528"/>
      <c r="AB48" s="528"/>
      <c r="AC48" s="528"/>
      <c r="AD48" s="529"/>
      <c r="AE48" s="157" t="s">
        <v>12</v>
      </c>
      <c r="AF48" s="157" t="s">
        <v>13</v>
      </c>
      <c r="AG48" s="157" t="s">
        <v>14</v>
      </c>
      <c r="AH48" s="157" t="s">
        <v>15</v>
      </c>
      <c r="AI48" s="157" t="s">
        <v>16</v>
      </c>
    </row>
    <row r="49" spans="1:35" x14ac:dyDescent="0.2">
      <c r="A49" s="129"/>
      <c r="B49" s="131"/>
      <c r="C49" s="131"/>
      <c r="D49" s="131"/>
      <c r="E49" s="131"/>
      <c r="F49" s="131"/>
      <c r="G49" s="141"/>
      <c r="H49" s="141"/>
      <c r="I49" s="141"/>
      <c r="J49" s="141"/>
      <c r="K49" s="141"/>
      <c r="L49" s="155"/>
      <c r="M49" s="129"/>
      <c r="N49" s="131"/>
      <c r="O49" s="131"/>
      <c r="P49" s="131"/>
      <c r="Q49" s="131"/>
      <c r="R49" s="131"/>
      <c r="S49" s="141"/>
      <c r="T49" s="141"/>
      <c r="U49" s="141"/>
      <c r="V49" s="141"/>
      <c r="W49" s="141"/>
      <c r="X49" s="155"/>
      <c r="Y49" s="129"/>
      <c r="Z49" s="131"/>
      <c r="AA49" s="131"/>
      <c r="AB49" s="131"/>
      <c r="AC49" s="131"/>
      <c r="AD49" s="131"/>
      <c r="AE49" s="141"/>
      <c r="AF49" s="141"/>
      <c r="AG49" s="141"/>
      <c r="AH49" s="141"/>
      <c r="AI49" s="141"/>
    </row>
    <row r="50" spans="1:35" x14ac:dyDescent="0.2">
      <c r="A50" s="161"/>
      <c r="B50" s="131"/>
      <c r="C50" s="131"/>
      <c r="D50" s="131"/>
      <c r="E50" s="131"/>
      <c r="F50" s="131"/>
      <c r="G50" s="143"/>
      <c r="H50" s="143"/>
      <c r="I50" s="143"/>
      <c r="J50" s="143"/>
      <c r="K50" s="143"/>
      <c r="L50" s="155"/>
      <c r="M50" s="161"/>
      <c r="N50" s="131"/>
      <c r="O50" s="131"/>
      <c r="P50" s="131"/>
      <c r="Q50" s="131"/>
      <c r="R50" s="131"/>
      <c r="S50" s="143"/>
      <c r="T50" s="143"/>
      <c r="U50" s="143"/>
      <c r="V50" s="143"/>
      <c r="W50" s="143"/>
      <c r="X50" s="155"/>
      <c r="Y50" s="161"/>
      <c r="Z50" s="131"/>
      <c r="AA50" s="131"/>
      <c r="AB50" s="131"/>
      <c r="AC50" s="131"/>
      <c r="AD50" s="131"/>
      <c r="AE50" s="143"/>
      <c r="AF50" s="143"/>
      <c r="AG50" s="143"/>
      <c r="AH50" s="143"/>
      <c r="AI50" s="143"/>
    </row>
    <row r="51" spans="1:35" x14ac:dyDescent="0.2">
      <c r="A51" s="142" t="s">
        <v>156</v>
      </c>
      <c r="B51" s="130"/>
      <c r="C51" s="130"/>
      <c r="D51" s="130"/>
      <c r="E51" s="131"/>
      <c r="F51" s="131"/>
      <c r="G51" s="131"/>
      <c r="H51" s="131"/>
      <c r="I51" s="131"/>
      <c r="J51" s="131"/>
      <c r="K51" s="140"/>
      <c r="L51" s="155"/>
      <c r="M51" s="142" t="s">
        <v>156</v>
      </c>
      <c r="N51" s="131"/>
      <c r="O51" s="131"/>
      <c r="P51" s="131"/>
      <c r="Q51" s="131"/>
      <c r="R51" s="131"/>
      <c r="S51" s="131"/>
      <c r="T51" s="131"/>
      <c r="U51" s="131"/>
      <c r="V51" s="131"/>
      <c r="W51" s="140"/>
      <c r="X51" s="155"/>
      <c r="Y51" s="142" t="s">
        <v>156</v>
      </c>
      <c r="Z51" s="130"/>
      <c r="AA51" s="130"/>
      <c r="AB51" s="130"/>
      <c r="AC51" s="131"/>
      <c r="AD51" s="131"/>
      <c r="AE51" s="131"/>
      <c r="AF51" s="131"/>
      <c r="AG51" s="131"/>
      <c r="AH51" s="131"/>
      <c r="AI51" s="140"/>
    </row>
    <row r="52" spans="1:35" ht="24" customHeight="1" x14ac:dyDescent="0.2">
      <c r="A52" s="129"/>
      <c r="B52" s="131"/>
      <c r="C52" s="131"/>
      <c r="D52" s="131"/>
      <c r="E52" s="131"/>
      <c r="F52" s="131"/>
      <c r="G52" s="141"/>
      <c r="H52" s="141"/>
      <c r="I52" s="141"/>
      <c r="J52" s="141"/>
      <c r="K52" s="141"/>
      <c r="L52" s="155"/>
      <c r="M52" s="129"/>
      <c r="N52" s="131"/>
      <c r="O52" s="131"/>
      <c r="P52" s="131"/>
      <c r="Q52" s="131"/>
      <c r="R52" s="131"/>
      <c r="S52" s="141"/>
      <c r="T52" s="141"/>
      <c r="U52" s="141"/>
      <c r="V52" s="141"/>
      <c r="W52" s="141"/>
      <c r="X52" s="155"/>
      <c r="Y52" s="129"/>
      <c r="Z52" s="131"/>
      <c r="AA52" s="131"/>
      <c r="AB52" s="131"/>
      <c r="AC52" s="131"/>
      <c r="AD52" s="131"/>
      <c r="AE52" s="141"/>
      <c r="AF52" s="141"/>
      <c r="AG52" s="141"/>
      <c r="AH52" s="141"/>
      <c r="AI52" s="141"/>
    </row>
    <row r="53" spans="1:35" ht="24" customHeight="1" x14ac:dyDescent="0.2">
      <c r="A53" s="129"/>
      <c r="B53" s="131"/>
      <c r="C53" s="131"/>
      <c r="D53" s="131"/>
      <c r="E53" s="131"/>
      <c r="F53" s="131"/>
      <c r="G53" s="143"/>
      <c r="H53" s="143"/>
      <c r="I53" s="143"/>
      <c r="J53" s="143"/>
      <c r="K53" s="143"/>
      <c r="L53" s="155"/>
      <c r="M53" s="129"/>
      <c r="N53" s="131"/>
      <c r="O53" s="131"/>
      <c r="P53" s="131"/>
      <c r="Q53" s="131"/>
      <c r="R53" s="131"/>
      <c r="S53" s="143"/>
      <c r="T53" s="143"/>
      <c r="U53" s="143"/>
      <c r="V53" s="143"/>
      <c r="W53" s="143"/>
      <c r="X53" s="155"/>
      <c r="Y53" s="129"/>
      <c r="Z53" s="131"/>
      <c r="AA53" s="131"/>
      <c r="AB53" s="131"/>
      <c r="AC53" s="131"/>
      <c r="AD53" s="131"/>
      <c r="AE53" s="143"/>
      <c r="AF53" s="143"/>
      <c r="AG53" s="143"/>
      <c r="AH53" s="143"/>
      <c r="AI53" s="143"/>
    </row>
    <row r="54" spans="1:35" ht="18" customHeight="1" x14ac:dyDescent="0.2">
      <c r="A54" s="144" t="s">
        <v>406</v>
      </c>
      <c r="B54" s="145"/>
      <c r="C54" s="145"/>
      <c r="D54" s="145"/>
      <c r="E54" s="131"/>
      <c r="F54" s="131"/>
      <c r="G54" s="131"/>
      <c r="H54" s="131"/>
      <c r="I54" s="131"/>
      <c r="J54" s="131"/>
      <c r="K54" s="139"/>
      <c r="L54" s="155"/>
      <c r="M54" s="144" t="s">
        <v>406</v>
      </c>
      <c r="N54" s="131"/>
      <c r="O54" s="131"/>
      <c r="P54" s="131"/>
      <c r="Q54" s="131"/>
      <c r="R54" s="131"/>
      <c r="S54" s="131"/>
      <c r="T54" s="131"/>
      <c r="U54" s="131"/>
      <c r="V54" s="131"/>
      <c r="W54" s="139"/>
      <c r="X54" s="155"/>
      <c r="Y54" s="144" t="s">
        <v>406</v>
      </c>
      <c r="Z54" s="145"/>
      <c r="AA54" s="145"/>
      <c r="AB54" s="145"/>
      <c r="AC54" s="131"/>
      <c r="AD54" s="131"/>
      <c r="AE54" s="131"/>
      <c r="AF54" s="131"/>
      <c r="AG54" s="131"/>
      <c r="AH54" s="131"/>
      <c r="AI54" s="139"/>
    </row>
    <row r="55" spans="1:35" ht="18" customHeight="1" x14ac:dyDescent="0.2">
      <c r="A55" s="146"/>
      <c r="B55" s="147"/>
      <c r="C55" s="147"/>
      <c r="D55" s="147"/>
      <c r="E55" s="147"/>
      <c r="F55" s="147"/>
      <c r="G55" s="147"/>
      <c r="H55" s="147"/>
      <c r="I55" s="147"/>
      <c r="J55" s="147"/>
      <c r="K55" s="148"/>
      <c r="L55" s="155"/>
      <c r="M55" s="146"/>
      <c r="N55" s="147"/>
      <c r="O55" s="147"/>
      <c r="P55" s="147"/>
      <c r="Q55" s="147"/>
      <c r="R55" s="147"/>
      <c r="S55" s="147"/>
      <c r="T55" s="147"/>
      <c r="U55" s="147"/>
      <c r="V55" s="147"/>
      <c r="W55" s="148"/>
      <c r="X55" s="155"/>
      <c r="Y55" s="146"/>
      <c r="Z55" s="147"/>
      <c r="AA55" s="147"/>
      <c r="AB55" s="147"/>
      <c r="AC55" s="147"/>
      <c r="AD55" s="147"/>
      <c r="AE55" s="147"/>
      <c r="AF55" s="147"/>
      <c r="AG55" s="147"/>
      <c r="AH55" s="147"/>
      <c r="AI55" s="148"/>
    </row>
    <row r="56" spans="1:35" ht="2" customHeight="1" x14ac:dyDescent="0.2">
      <c r="A56" s="155"/>
      <c r="B56" s="155"/>
      <c r="C56" s="155"/>
      <c r="D56" s="155"/>
      <c r="E56" s="155"/>
      <c r="F56" s="155"/>
      <c r="G56" s="155"/>
      <c r="H56" s="155"/>
      <c r="I56" s="155"/>
      <c r="J56" s="155"/>
      <c r="K56" s="155"/>
      <c r="L56" s="155"/>
      <c r="M56" s="155"/>
      <c r="N56" s="155"/>
      <c r="O56" s="155"/>
      <c r="P56" s="155"/>
      <c r="Q56" s="155"/>
      <c r="R56" s="155"/>
      <c r="S56" s="155"/>
      <c r="T56" s="155"/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  <c r="AF56" s="155"/>
      <c r="AG56" s="155"/>
      <c r="AH56" s="155"/>
      <c r="AI56" s="155"/>
    </row>
    <row r="57" spans="1:35" ht="19" customHeight="1" x14ac:dyDescent="0.2">
      <c r="A57" s="469" t="s">
        <v>437</v>
      </c>
      <c r="B57" s="469"/>
      <c r="C57" s="469"/>
      <c r="D57" s="469"/>
      <c r="E57" s="469"/>
      <c r="F57" s="469"/>
      <c r="G57" s="469"/>
      <c r="H57" s="469"/>
      <c r="I57" s="469"/>
      <c r="J57" s="469"/>
      <c r="K57" s="469"/>
      <c r="L57" s="151"/>
      <c r="M57" s="469" t="s">
        <v>437</v>
      </c>
      <c r="N57" s="469"/>
      <c r="O57" s="469"/>
      <c r="P57" s="469"/>
      <c r="Q57" s="469"/>
      <c r="R57" s="469"/>
      <c r="S57" s="469"/>
      <c r="T57" s="469"/>
      <c r="U57" s="469"/>
      <c r="V57" s="469"/>
      <c r="W57" s="469"/>
      <c r="X57" s="151"/>
      <c r="Y57" s="469" t="s">
        <v>437</v>
      </c>
      <c r="Z57" s="469"/>
      <c r="AA57" s="469"/>
      <c r="AB57" s="469"/>
      <c r="AC57" s="469"/>
      <c r="AD57" s="469"/>
      <c r="AE57" s="469"/>
      <c r="AF57" s="469"/>
      <c r="AG57" s="469"/>
      <c r="AH57" s="469"/>
      <c r="AI57" s="469"/>
    </row>
    <row r="58" spans="1:35" ht="19" customHeight="1" x14ac:dyDescent="0.2">
      <c r="A58" s="129"/>
      <c r="B58" s="131"/>
      <c r="C58" s="131"/>
      <c r="D58" s="131"/>
      <c r="E58" s="470"/>
      <c r="F58" s="470"/>
      <c r="G58" s="130" t="s">
        <v>28</v>
      </c>
      <c r="H58" s="133"/>
      <c r="I58" s="131" t="s">
        <v>427</v>
      </c>
      <c r="J58" s="131"/>
      <c r="K58" s="132"/>
      <c r="L58" s="152"/>
      <c r="M58" s="129"/>
      <c r="N58" s="131"/>
      <c r="O58" s="131"/>
      <c r="P58" s="131"/>
      <c r="Q58" s="470"/>
      <c r="R58" s="470"/>
      <c r="S58" s="130" t="s">
        <v>28</v>
      </c>
      <c r="T58" s="133"/>
      <c r="U58" s="131" t="s">
        <v>427</v>
      </c>
      <c r="V58" s="131"/>
      <c r="W58" s="132"/>
      <c r="X58" s="152"/>
      <c r="Y58" s="129"/>
      <c r="Z58" s="131"/>
      <c r="AA58" s="131"/>
      <c r="AB58" s="131"/>
      <c r="AC58" s="470"/>
      <c r="AD58" s="470"/>
      <c r="AE58" s="130" t="s">
        <v>28</v>
      </c>
      <c r="AF58" s="133"/>
      <c r="AG58" s="131" t="s">
        <v>427</v>
      </c>
      <c r="AH58" s="131"/>
      <c r="AI58" s="132"/>
    </row>
    <row r="59" spans="1:35" ht="19" customHeight="1" x14ac:dyDescent="0.2">
      <c r="A59" s="475" t="s">
        <v>437</v>
      </c>
      <c r="B59" s="475"/>
      <c r="C59" s="475"/>
      <c r="D59" s="475"/>
      <c r="E59" s="475"/>
      <c r="F59" s="475"/>
      <c r="G59" s="153" t="s">
        <v>426</v>
      </c>
      <c r="H59" s="468" t="s">
        <v>437</v>
      </c>
      <c r="I59" s="468"/>
      <c r="J59" s="468"/>
      <c r="K59" s="468"/>
      <c r="L59" s="160"/>
      <c r="M59" s="475" t="s">
        <v>437</v>
      </c>
      <c r="N59" s="475"/>
      <c r="O59" s="475"/>
      <c r="P59" s="475"/>
      <c r="Q59" s="475"/>
      <c r="R59" s="475"/>
      <c r="S59" s="153" t="s">
        <v>426</v>
      </c>
      <c r="T59" s="468" t="s">
        <v>437</v>
      </c>
      <c r="U59" s="468"/>
      <c r="V59" s="468"/>
      <c r="W59" s="468"/>
      <c r="X59" s="160"/>
      <c r="Y59" s="475" t="s">
        <v>437</v>
      </c>
      <c r="Z59" s="475"/>
      <c r="AA59" s="475"/>
      <c r="AB59" s="475"/>
      <c r="AC59" s="475"/>
      <c r="AD59" s="475"/>
      <c r="AE59" s="153" t="s">
        <v>426</v>
      </c>
      <c r="AF59" s="468" t="s">
        <v>437</v>
      </c>
      <c r="AG59" s="468"/>
      <c r="AH59" s="468"/>
      <c r="AI59" s="468"/>
    </row>
    <row r="60" spans="1:35" ht="19" customHeight="1" thickBot="1" x14ac:dyDescent="0.25">
      <c r="A60" s="134" t="s">
        <v>29</v>
      </c>
      <c r="B60" s="472" t="s">
        <v>437</v>
      </c>
      <c r="C60" s="472"/>
      <c r="D60" s="472"/>
      <c r="E60" s="472"/>
      <c r="F60" s="472"/>
      <c r="G60" s="135"/>
      <c r="H60" s="136" t="s">
        <v>407</v>
      </c>
      <c r="I60" s="135"/>
      <c r="J60" s="135"/>
      <c r="K60" s="137"/>
      <c r="L60" s="155"/>
      <c r="M60" s="134" t="s">
        <v>29</v>
      </c>
      <c r="N60" s="472">
        <v>43382</v>
      </c>
      <c r="O60" s="472"/>
      <c r="P60" s="472"/>
      <c r="Q60" s="472">
        <v>43382</v>
      </c>
      <c r="R60" s="472"/>
      <c r="S60" s="135"/>
      <c r="T60" s="136" t="s">
        <v>407</v>
      </c>
      <c r="U60" s="135"/>
      <c r="V60" s="135"/>
      <c r="W60" s="137"/>
      <c r="X60" s="155"/>
      <c r="Y60" s="134" t="s">
        <v>29</v>
      </c>
      <c r="Z60" s="472" t="s">
        <v>437</v>
      </c>
      <c r="AA60" s="472"/>
      <c r="AB60" s="472"/>
      <c r="AC60" s="472">
        <v>43382</v>
      </c>
      <c r="AD60" s="472"/>
      <c r="AE60" s="135"/>
      <c r="AF60" s="136" t="s">
        <v>407</v>
      </c>
      <c r="AG60" s="135"/>
      <c r="AH60" s="135"/>
      <c r="AI60" s="137"/>
    </row>
    <row r="61" spans="1:35" ht="19" customHeight="1" thickTop="1" x14ac:dyDescent="0.2">
      <c r="A61" s="129"/>
      <c r="B61" s="131"/>
      <c r="C61" s="131"/>
      <c r="D61" s="131"/>
      <c r="E61" s="138"/>
      <c r="F61" s="131"/>
      <c r="G61" s="131" t="s">
        <v>1021</v>
      </c>
      <c r="H61" s="131"/>
      <c r="I61" s="131"/>
      <c r="J61" s="131"/>
      <c r="K61" s="139"/>
      <c r="L61" s="155"/>
      <c r="M61" s="129"/>
      <c r="N61" s="131"/>
      <c r="O61" s="131"/>
      <c r="P61" s="131"/>
      <c r="Q61" s="138"/>
      <c r="R61" s="131"/>
      <c r="S61" s="131" t="s">
        <v>1021</v>
      </c>
      <c r="T61" s="131"/>
      <c r="U61" s="131"/>
      <c r="V61" s="131"/>
      <c r="W61" s="139"/>
      <c r="X61" s="155"/>
      <c r="Y61" s="129"/>
      <c r="Z61" s="131"/>
      <c r="AA61" s="131"/>
      <c r="AB61" s="131"/>
      <c r="AC61" s="138"/>
      <c r="AD61" s="131"/>
      <c r="AE61" s="131" t="s">
        <v>1021</v>
      </c>
      <c r="AF61" s="131"/>
      <c r="AG61" s="131"/>
      <c r="AH61" s="131"/>
      <c r="AI61" s="139"/>
    </row>
    <row r="62" spans="1:35" ht="19" customHeight="1" x14ac:dyDescent="0.25">
      <c r="A62" s="156" t="s">
        <v>405</v>
      </c>
      <c r="B62" s="474"/>
      <c r="C62" s="474"/>
      <c r="D62" s="474"/>
      <c r="E62" s="474"/>
      <c r="F62" s="474"/>
      <c r="G62" s="157" t="s">
        <v>12</v>
      </c>
      <c r="H62" s="157" t="s">
        <v>13</v>
      </c>
      <c r="I62" s="157" t="s">
        <v>14</v>
      </c>
      <c r="J62" s="157" t="s">
        <v>15</v>
      </c>
      <c r="K62" s="157" t="s">
        <v>16</v>
      </c>
      <c r="L62" s="158"/>
      <c r="M62" s="156" t="s">
        <v>405</v>
      </c>
      <c r="N62" s="474"/>
      <c r="O62" s="474"/>
      <c r="P62" s="474"/>
      <c r="Q62" s="474"/>
      <c r="R62" s="474"/>
      <c r="S62" s="157" t="s">
        <v>12</v>
      </c>
      <c r="T62" s="157" t="s">
        <v>13</v>
      </c>
      <c r="U62" s="157" t="s">
        <v>14</v>
      </c>
      <c r="V62" s="157" t="s">
        <v>15</v>
      </c>
      <c r="W62" s="157" t="s">
        <v>16</v>
      </c>
      <c r="X62" s="158"/>
      <c r="Y62" s="156" t="s">
        <v>405</v>
      </c>
      <c r="Z62" s="474"/>
      <c r="AA62" s="474"/>
      <c r="AB62" s="474"/>
      <c r="AC62" s="474"/>
      <c r="AD62" s="474"/>
      <c r="AE62" s="157" t="s">
        <v>12</v>
      </c>
      <c r="AF62" s="157" t="s">
        <v>13</v>
      </c>
      <c r="AG62" s="157" t="s">
        <v>14</v>
      </c>
      <c r="AH62" s="157" t="s">
        <v>15</v>
      </c>
      <c r="AI62" s="157" t="s">
        <v>16</v>
      </c>
    </row>
    <row r="63" spans="1:35" ht="24" customHeight="1" x14ac:dyDescent="0.2">
      <c r="A63" s="161"/>
      <c r="B63" s="131"/>
      <c r="C63" s="131"/>
      <c r="D63" s="131"/>
      <c r="E63" s="131"/>
      <c r="F63" s="131"/>
      <c r="G63" s="141"/>
      <c r="H63" s="141"/>
      <c r="I63" s="141"/>
      <c r="J63" s="141"/>
      <c r="K63" s="141"/>
      <c r="L63" s="155"/>
      <c r="M63" s="161"/>
      <c r="N63" s="131"/>
      <c r="O63" s="131"/>
      <c r="P63" s="131"/>
      <c r="Q63" s="131"/>
      <c r="R63" s="131"/>
      <c r="S63" s="141"/>
      <c r="T63" s="141"/>
      <c r="U63" s="141"/>
      <c r="V63" s="141"/>
      <c r="W63" s="141"/>
      <c r="X63" s="155"/>
      <c r="Y63" s="161"/>
      <c r="Z63" s="131"/>
      <c r="AA63" s="131"/>
      <c r="AB63" s="131"/>
      <c r="AC63" s="131"/>
      <c r="AD63" s="131"/>
      <c r="AE63" s="141"/>
      <c r="AF63" s="141"/>
      <c r="AG63" s="141"/>
      <c r="AH63" s="141"/>
      <c r="AI63" s="141"/>
    </row>
    <row r="64" spans="1:35" ht="24" customHeight="1" x14ac:dyDescent="0.2">
      <c r="A64" s="161"/>
      <c r="B64" s="131"/>
      <c r="C64" s="131"/>
      <c r="D64" s="131"/>
      <c r="E64" s="131"/>
      <c r="F64" s="131"/>
      <c r="G64" s="143"/>
      <c r="H64" s="143"/>
      <c r="I64" s="143"/>
      <c r="J64" s="143"/>
      <c r="K64" s="143"/>
      <c r="L64" s="155"/>
      <c r="M64" s="161"/>
      <c r="N64" s="131"/>
      <c r="O64" s="131"/>
      <c r="P64" s="131"/>
      <c r="Q64" s="131"/>
      <c r="R64" s="131"/>
      <c r="S64" s="143"/>
      <c r="T64" s="143"/>
      <c r="U64" s="143"/>
      <c r="V64" s="143"/>
      <c r="W64" s="143"/>
      <c r="X64" s="155"/>
      <c r="Y64" s="161"/>
      <c r="Z64" s="131"/>
      <c r="AA64" s="131"/>
      <c r="AB64" s="131"/>
      <c r="AC64" s="131"/>
      <c r="AD64" s="131"/>
      <c r="AE64" s="143"/>
      <c r="AF64" s="143"/>
      <c r="AG64" s="143"/>
      <c r="AH64" s="143"/>
      <c r="AI64" s="143"/>
    </row>
    <row r="65" spans="1:35" x14ac:dyDescent="0.2">
      <c r="A65" s="142" t="s">
        <v>156</v>
      </c>
      <c r="B65" s="130"/>
      <c r="C65" s="130"/>
      <c r="D65" s="130"/>
      <c r="E65" s="131"/>
      <c r="F65" s="131"/>
      <c r="G65" s="131"/>
      <c r="H65" s="131"/>
      <c r="I65" s="131"/>
      <c r="J65" s="131"/>
      <c r="K65" s="140"/>
      <c r="L65" s="155"/>
      <c r="M65" s="142" t="s">
        <v>156</v>
      </c>
      <c r="N65" s="130"/>
      <c r="O65" s="130"/>
      <c r="P65" s="130"/>
      <c r="Q65" s="131"/>
      <c r="R65" s="131"/>
      <c r="S65" s="131"/>
      <c r="T65" s="131"/>
      <c r="U65" s="131"/>
      <c r="V65" s="131"/>
      <c r="W65" s="140"/>
      <c r="X65" s="155"/>
      <c r="Y65" s="142" t="s">
        <v>156</v>
      </c>
      <c r="Z65" s="130"/>
      <c r="AA65" s="130"/>
      <c r="AB65" s="130"/>
      <c r="AC65" s="131"/>
      <c r="AD65" s="131"/>
      <c r="AE65" s="131"/>
      <c r="AF65" s="131"/>
      <c r="AG65" s="131"/>
      <c r="AH65" s="131"/>
      <c r="AI65" s="140"/>
    </row>
    <row r="66" spans="1:35" ht="24" customHeight="1" x14ac:dyDescent="0.2">
      <c r="A66" s="161"/>
      <c r="B66" s="131"/>
      <c r="C66" s="131"/>
      <c r="D66" s="131"/>
      <c r="E66" s="131"/>
      <c r="F66" s="131"/>
      <c r="G66" s="141"/>
      <c r="H66" s="141"/>
      <c r="I66" s="141"/>
      <c r="J66" s="141"/>
      <c r="K66" s="141"/>
      <c r="L66" s="155"/>
      <c r="M66" s="161"/>
      <c r="N66" s="131"/>
      <c r="O66" s="131"/>
      <c r="P66" s="131"/>
      <c r="Q66" s="131"/>
      <c r="R66" s="131"/>
      <c r="S66" s="141"/>
      <c r="T66" s="141"/>
      <c r="U66" s="141"/>
      <c r="V66" s="141"/>
      <c r="W66" s="141"/>
      <c r="X66" s="155"/>
      <c r="Y66" s="161"/>
      <c r="Z66" s="131"/>
      <c r="AA66" s="131"/>
      <c r="AB66" s="131"/>
      <c r="AC66" s="131"/>
      <c r="AD66" s="131"/>
      <c r="AE66" s="141"/>
      <c r="AF66" s="141"/>
      <c r="AG66" s="141"/>
      <c r="AH66" s="141"/>
      <c r="AI66" s="141"/>
    </row>
    <row r="67" spans="1:35" ht="24" customHeight="1" x14ac:dyDescent="0.2">
      <c r="A67" s="129"/>
      <c r="B67" s="131"/>
      <c r="C67" s="131"/>
      <c r="D67" s="131"/>
      <c r="E67" s="131"/>
      <c r="F67" s="131"/>
      <c r="G67" s="143"/>
      <c r="H67" s="143"/>
      <c r="I67" s="143"/>
      <c r="J67" s="143"/>
      <c r="K67" s="143"/>
      <c r="L67" s="155"/>
      <c r="M67" s="129"/>
      <c r="N67" s="131"/>
      <c r="O67" s="131"/>
      <c r="P67" s="131"/>
      <c r="Q67" s="131"/>
      <c r="R67" s="131"/>
      <c r="S67" s="143"/>
      <c r="T67" s="143"/>
      <c r="U67" s="143"/>
      <c r="V67" s="143"/>
      <c r="W67" s="143"/>
      <c r="X67" s="155"/>
      <c r="Y67" s="129"/>
      <c r="Z67" s="131"/>
      <c r="AA67" s="131"/>
      <c r="AB67" s="131"/>
      <c r="AC67" s="131"/>
      <c r="AD67" s="131"/>
      <c r="AE67" s="143"/>
      <c r="AF67" s="143"/>
      <c r="AG67" s="143"/>
      <c r="AH67" s="143"/>
      <c r="AI67" s="143"/>
    </row>
    <row r="68" spans="1:35" ht="18" customHeight="1" x14ac:dyDescent="0.2">
      <c r="A68" s="144" t="s">
        <v>406</v>
      </c>
      <c r="B68" s="145"/>
      <c r="C68" s="145"/>
      <c r="D68" s="145"/>
      <c r="E68" s="131"/>
      <c r="F68" s="131"/>
      <c r="G68" s="131"/>
      <c r="H68" s="131"/>
      <c r="I68" s="131"/>
      <c r="J68" s="131"/>
      <c r="K68" s="139"/>
      <c r="L68" s="155"/>
      <c r="M68" s="144" t="s">
        <v>406</v>
      </c>
      <c r="N68" s="145"/>
      <c r="O68" s="145"/>
      <c r="P68" s="145"/>
      <c r="Q68" s="131"/>
      <c r="R68" s="131"/>
      <c r="S68" s="131"/>
      <c r="T68" s="131"/>
      <c r="U68" s="131"/>
      <c r="V68" s="131"/>
      <c r="W68" s="139"/>
      <c r="X68" s="155"/>
      <c r="Y68" s="144" t="s">
        <v>406</v>
      </c>
      <c r="Z68" s="145"/>
      <c r="AA68" s="145"/>
      <c r="AB68" s="145"/>
      <c r="AC68" s="131"/>
      <c r="AD68" s="131"/>
      <c r="AE68" s="131"/>
      <c r="AF68" s="131"/>
      <c r="AG68" s="131"/>
      <c r="AH68" s="131"/>
      <c r="AI68" s="139"/>
    </row>
    <row r="69" spans="1:35" ht="18" customHeight="1" x14ac:dyDescent="0.2">
      <c r="A69" s="146"/>
      <c r="B69" s="147"/>
      <c r="C69" s="147"/>
      <c r="D69" s="147"/>
      <c r="E69" s="147"/>
      <c r="F69" s="147"/>
      <c r="G69" s="147"/>
      <c r="H69" s="147"/>
      <c r="I69" s="147"/>
      <c r="J69" s="147"/>
      <c r="K69" s="148"/>
      <c r="L69" s="155"/>
      <c r="M69" s="146"/>
      <c r="N69" s="147"/>
      <c r="O69" s="147"/>
      <c r="P69" s="147"/>
      <c r="Q69" s="147"/>
      <c r="R69" s="147"/>
      <c r="S69" s="147"/>
      <c r="T69" s="147"/>
      <c r="U69" s="147"/>
      <c r="V69" s="147"/>
      <c r="W69" s="148"/>
      <c r="X69" s="155"/>
      <c r="Y69" s="146"/>
      <c r="Z69" s="147"/>
      <c r="AA69" s="147"/>
      <c r="AB69" s="147"/>
      <c r="AC69" s="147"/>
      <c r="AD69" s="147"/>
      <c r="AE69" s="147"/>
      <c r="AF69" s="147"/>
      <c r="AG69" s="147"/>
      <c r="AH69" s="147"/>
      <c r="AI69" s="148"/>
    </row>
  </sheetData>
  <mergeCells count="90">
    <mergeCell ref="B60:F60"/>
    <mergeCell ref="N60:R60"/>
    <mergeCell ref="Z60:AD60"/>
    <mergeCell ref="B62:F62"/>
    <mergeCell ref="N62:R62"/>
    <mergeCell ref="Z62:AD62"/>
    <mergeCell ref="AF59:AI59"/>
    <mergeCell ref="A57:K57"/>
    <mergeCell ref="M57:W57"/>
    <mergeCell ref="Y57:AI57"/>
    <mergeCell ref="E58:F58"/>
    <mergeCell ref="Q58:R58"/>
    <mergeCell ref="AC58:AD58"/>
    <mergeCell ref="A59:F59"/>
    <mergeCell ref="H59:K59"/>
    <mergeCell ref="M59:R59"/>
    <mergeCell ref="T59:W59"/>
    <mergeCell ref="Y59:AD59"/>
    <mergeCell ref="B46:F46"/>
    <mergeCell ref="N46:R46"/>
    <mergeCell ref="Z46:AD46"/>
    <mergeCell ref="B48:F48"/>
    <mergeCell ref="N48:R48"/>
    <mergeCell ref="Z48:AD48"/>
    <mergeCell ref="AF45:AI45"/>
    <mergeCell ref="A43:K43"/>
    <mergeCell ref="M43:W43"/>
    <mergeCell ref="Y43:AI43"/>
    <mergeCell ref="N44:R44"/>
    <mergeCell ref="AC44:AD44"/>
    <mergeCell ref="E44:F44"/>
    <mergeCell ref="A45:F45"/>
    <mergeCell ref="H45:K45"/>
    <mergeCell ref="M45:R45"/>
    <mergeCell ref="T45:W45"/>
    <mergeCell ref="Y45:AD45"/>
    <mergeCell ref="B32:F32"/>
    <mergeCell ref="N32:R32"/>
    <mergeCell ref="Z32:AD32"/>
    <mergeCell ref="B34:F34"/>
    <mergeCell ref="N34:R34"/>
    <mergeCell ref="Z34:AD34"/>
    <mergeCell ref="AF31:AI31"/>
    <mergeCell ref="A29:K29"/>
    <mergeCell ref="M29:W29"/>
    <mergeCell ref="Y29:AI29"/>
    <mergeCell ref="E30:F30"/>
    <mergeCell ref="Q30:R30"/>
    <mergeCell ref="AC30:AD30"/>
    <mergeCell ref="A31:F31"/>
    <mergeCell ref="H31:K31"/>
    <mergeCell ref="M31:R31"/>
    <mergeCell ref="T31:W31"/>
    <mergeCell ref="Y31:AD31"/>
    <mergeCell ref="B18:F18"/>
    <mergeCell ref="N18:R18"/>
    <mergeCell ref="Z18:AD18"/>
    <mergeCell ref="B20:F20"/>
    <mergeCell ref="N20:R20"/>
    <mergeCell ref="Z20:AD20"/>
    <mergeCell ref="AF17:AI17"/>
    <mergeCell ref="A15:K15"/>
    <mergeCell ref="M15:W15"/>
    <mergeCell ref="Y15:AI15"/>
    <mergeCell ref="B16:F16"/>
    <mergeCell ref="N16:R16"/>
    <mergeCell ref="AC16:AD16"/>
    <mergeCell ref="A17:F17"/>
    <mergeCell ref="H17:K17"/>
    <mergeCell ref="M17:R17"/>
    <mergeCell ref="T17:W17"/>
    <mergeCell ref="Y17:AD17"/>
    <mergeCell ref="B4:F4"/>
    <mergeCell ref="N4:R4"/>
    <mergeCell ref="Z4:AD4"/>
    <mergeCell ref="B6:F6"/>
    <mergeCell ref="N6:R6"/>
    <mergeCell ref="Z6:AD6"/>
    <mergeCell ref="AF3:AI3"/>
    <mergeCell ref="A1:K1"/>
    <mergeCell ref="M1:W1"/>
    <mergeCell ref="Y1:AI1"/>
    <mergeCell ref="B2:F2"/>
    <mergeCell ref="N2:R2"/>
    <mergeCell ref="Z2:AD2"/>
    <mergeCell ref="A3:F3"/>
    <mergeCell ref="H3:K3"/>
    <mergeCell ref="M3:R3"/>
    <mergeCell ref="T3:W3"/>
    <mergeCell ref="Y3:AD3"/>
  </mergeCells>
  <pageMargins left="0.11811023622047245" right="0.11811023622047245" top="0.15748031496062992" bottom="0.15748031496062992" header="0.11811023622047245" footer="0.11811023622047245"/>
  <pageSetup paperSize="9" scale="70" orientation="landscape" r:id="rId1"/>
  <headerFooter>
    <oddHeader>&amp;C&amp;"Calibri"&amp;10&amp;KFF8C00C2 - Confidential&amp;1#</oddHeader>
  </headerFooter>
  <rowBreaks count="1" manualBreakCount="1">
    <brk id="42" max="34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11">
    <tabColor rgb="FF7030A0"/>
  </sheetPr>
  <dimension ref="A1:CU65"/>
  <sheetViews>
    <sheetView showGridLines="0" topLeftCell="AF40" zoomScale="80" zoomScaleNormal="80" zoomScaleSheetLayoutView="70" workbookViewId="0">
      <selection activeCell="Y6" sqref="Y6"/>
    </sheetView>
  </sheetViews>
  <sheetFormatPr baseColWidth="10" defaultRowHeight="16" outlineLevelCol="1" x14ac:dyDescent="0.2"/>
  <cols>
    <col min="1" max="12" width="5.6640625" customWidth="1"/>
    <col min="13" max="13" width="8.6640625" customWidth="1"/>
    <col min="14" max="18" width="5.6640625" customWidth="1"/>
    <col min="19" max="19" width="5.5" customWidth="1"/>
    <col min="20" max="27" width="5.6640625" customWidth="1"/>
    <col min="28" max="28" width="2.33203125" customWidth="1"/>
    <col min="29" max="29" width="22.1640625" customWidth="1"/>
    <col min="30" max="30" width="16.6640625" customWidth="1"/>
    <col min="31" max="31" width="7.1640625" customWidth="1"/>
    <col min="32" max="33" width="25.1640625" bestFit="1" customWidth="1"/>
    <col min="34" max="35" width="5.6640625" hidden="1" customWidth="1" outlineLevel="1"/>
    <col min="36" max="36" width="15.1640625" hidden="1" customWidth="1" outlineLevel="1"/>
    <col min="37" max="39" width="5.6640625" hidden="1" customWidth="1" outlineLevel="1"/>
    <col min="40" max="40" width="10.33203125" style="3" hidden="1" customWidth="1" outlineLevel="1"/>
    <col min="41" max="51" width="5.6640625" style="3" hidden="1" customWidth="1" outlineLevel="1"/>
    <col min="52" max="52" width="5.6640625" style="3" customWidth="1" collapsed="1"/>
    <col min="53" max="56" width="5.6640625" style="3" customWidth="1"/>
    <col min="57" max="57" width="5.6640625" hidden="1" customWidth="1" outlineLevel="1"/>
    <col min="58" max="58" width="7.1640625" hidden="1" customWidth="1" outlineLevel="1"/>
    <col min="59" max="59" width="5.6640625" hidden="1" customWidth="1" outlineLevel="1"/>
    <col min="60" max="61" width="11" hidden="1" customWidth="1" outlineLevel="1"/>
    <col min="62" max="62" width="16.6640625" hidden="1" customWidth="1" outlineLevel="1"/>
    <col min="63" max="67" width="11" hidden="1" customWidth="1" outlineLevel="1"/>
    <col min="68" max="68" width="11" collapsed="1"/>
    <col min="79" max="98" width="10.6640625" hidden="1" customWidth="1" outlineLevel="1"/>
    <col min="99" max="99" width="10.6640625" customWidth="1" collapsed="1"/>
  </cols>
  <sheetData>
    <row r="1" spans="1:97" ht="21" customHeight="1" x14ac:dyDescent="0.2">
      <c r="A1" s="114" t="s">
        <v>1666</v>
      </c>
      <c r="CA1" s="287" t="s">
        <v>1032</v>
      </c>
      <c r="CB1" t="s">
        <v>1054</v>
      </c>
      <c r="CC1">
        <f>R3</f>
        <v>0</v>
      </c>
      <c r="CD1" s="288" t="str">
        <f>+D2</f>
        <v/>
      </c>
      <c r="CE1" s="288" t="str">
        <f>IF(ISBLANK(D3),D2,D3)</f>
        <v/>
      </c>
      <c r="CF1">
        <f>G3</f>
        <v>0</v>
      </c>
      <c r="CG1" s="170">
        <f>R3</f>
        <v>0</v>
      </c>
      <c r="CH1" t="str">
        <f>B6&amp;" "&amp;F6</f>
        <v xml:space="preserve"> </v>
      </c>
      <c r="CI1" t="s">
        <v>156</v>
      </c>
      <c r="CJ1" t="str">
        <f>N6&amp;" "&amp;R6</f>
        <v xml:space="preserve"> </v>
      </c>
      <c r="CL1">
        <f>L23</f>
        <v>0</v>
      </c>
      <c r="CM1">
        <f>N23</f>
        <v>0</v>
      </c>
      <c r="CO1">
        <f>AK33</f>
        <v>0</v>
      </c>
      <c r="CP1">
        <f>AK34</f>
        <v>0</v>
      </c>
      <c r="CR1">
        <f>AL33</f>
        <v>0</v>
      </c>
      <c r="CS1">
        <f>AL34</f>
        <v>0</v>
      </c>
    </row>
    <row r="2" spans="1:97" ht="21" customHeight="1" x14ac:dyDescent="0.2">
      <c r="A2" s="45" t="s">
        <v>23</v>
      </c>
      <c r="D2" s="505" t="str">
        <f>IFERROR(VLOOKUP(R3,JourneeCD,2,FALSE),"")</f>
        <v/>
      </c>
      <c r="E2" s="506"/>
      <c r="AC2" t="s">
        <v>418</v>
      </c>
      <c r="AD2" s="87"/>
      <c r="AE2" s="87"/>
      <c r="AF2" s="87"/>
      <c r="AH2" s="87"/>
    </row>
    <row r="3" spans="1:97" ht="25" customHeight="1" x14ac:dyDescent="0.2">
      <c r="A3" s="27" t="s">
        <v>272</v>
      </c>
      <c r="C3" s="435"/>
      <c r="D3" s="436"/>
      <c r="F3" s="167" t="s">
        <v>462</v>
      </c>
      <c r="G3" s="513"/>
      <c r="H3" s="513"/>
      <c r="I3" s="513"/>
      <c r="J3" s="513"/>
      <c r="K3" s="513"/>
      <c r="L3" s="513"/>
      <c r="O3" s="89"/>
      <c r="P3" s="45" t="s">
        <v>387</v>
      </c>
      <c r="Q3" s="27"/>
      <c r="R3" s="539"/>
      <c r="S3" s="539"/>
      <c r="AC3" s="27" t="s">
        <v>476</v>
      </c>
      <c r="AN3"/>
    </row>
    <row r="4" spans="1:97" ht="21" customHeight="1" thickBot="1" x14ac:dyDescent="0.25">
      <c r="E4" s="13"/>
      <c r="F4" s="8"/>
      <c r="G4" s="168"/>
      <c r="H4" s="169"/>
      <c r="I4" s="7"/>
      <c r="J4" s="7"/>
      <c r="K4" s="7"/>
      <c r="L4" s="7"/>
      <c r="M4" s="7"/>
      <c r="N4" s="7"/>
      <c r="O4" s="7"/>
      <c r="AC4" s="27" t="s">
        <v>372</v>
      </c>
      <c r="AN4"/>
      <c r="BK4">
        <v>1</v>
      </c>
    </row>
    <row r="5" spans="1:97" ht="21" customHeight="1" thickTop="1" x14ac:dyDescent="0.2">
      <c r="A5" s="61"/>
      <c r="B5" s="50" t="s">
        <v>425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94" t="s">
        <v>424</v>
      </c>
      <c r="O5" s="48"/>
      <c r="P5" s="48"/>
      <c r="Q5" s="48"/>
      <c r="R5" s="48"/>
      <c r="S5" s="48"/>
      <c r="T5" s="48"/>
      <c r="U5" s="51"/>
      <c r="AC5" s="27" t="s">
        <v>477</v>
      </c>
      <c r="AN5"/>
      <c r="BK5">
        <v>2</v>
      </c>
    </row>
    <row r="6" spans="1:97" ht="25" customHeight="1" thickBot="1" x14ac:dyDescent="0.25">
      <c r="A6" s="62"/>
      <c r="B6" s="509"/>
      <c r="C6" s="510"/>
      <c r="D6" s="510"/>
      <c r="E6" s="5"/>
      <c r="F6" s="52"/>
      <c r="G6" s="5"/>
      <c r="H6" s="5"/>
      <c r="I6" s="5"/>
      <c r="J6" s="5"/>
      <c r="K6" s="5"/>
      <c r="L6" s="5"/>
      <c r="M6" s="5"/>
      <c r="N6" s="511"/>
      <c r="O6" s="510"/>
      <c r="P6" s="510"/>
      <c r="Q6" s="5"/>
      <c r="R6" s="52"/>
      <c r="S6" s="5"/>
      <c r="T6" s="5"/>
      <c r="U6" s="53"/>
      <c r="W6" s="75" t="s">
        <v>2073</v>
      </c>
      <c r="AC6" s="27" t="s">
        <v>374</v>
      </c>
      <c r="AM6" s="2"/>
      <c r="AN6" s="4"/>
      <c r="BK6">
        <v>1</v>
      </c>
    </row>
    <row r="7" spans="1:97" ht="21" customHeight="1" thickTop="1" x14ac:dyDescent="0.25">
      <c r="AC7" s="27" t="s">
        <v>377</v>
      </c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F7" s="15"/>
      <c r="BG7" s="15"/>
      <c r="BH7" s="15"/>
      <c r="BK7">
        <v>2</v>
      </c>
    </row>
    <row r="8" spans="1:97" ht="21" customHeight="1" thickBot="1" x14ac:dyDescent="0.25">
      <c r="G8" s="14"/>
      <c r="AC8" s="27" t="s">
        <v>482</v>
      </c>
      <c r="BK8">
        <v>3</v>
      </c>
    </row>
    <row r="9" spans="1:97" ht="21" customHeight="1" thickTop="1" thickBot="1" x14ac:dyDescent="0.25">
      <c r="A9" s="63"/>
      <c r="B9" s="95" t="s">
        <v>370</v>
      </c>
      <c r="C9" s="56" t="s">
        <v>274</v>
      </c>
      <c r="D9" s="57"/>
      <c r="E9" s="57"/>
      <c r="F9" s="57"/>
      <c r="G9" s="57"/>
      <c r="H9" s="59"/>
      <c r="I9" s="71" t="s">
        <v>275</v>
      </c>
      <c r="J9" s="442" t="s">
        <v>367</v>
      </c>
      <c r="K9" s="443"/>
      <c r="L9" s="57"/>
      <c r="M9" s="59"/>
      <c r="N9" s="60"/>
      <c r="O9" s="59"/>
      <c r="P9" s="96" t="s">
        <v>370</v>
      </c>
      <c r="Q9" s="56" t="s">
        <v>274</v>
      </c>
      <c r="R9" s="57"/>
      <c r="S9" s="59"/>
      <c r="T9" s="59"/>
      <c r="U9" s="59"/>
      <c r="V9" s="59"/>
      <c r="W9" s="59"/>
      <c r="X9" s="71" t="s">
        <v>275</v>
      </c>
      <c r="Y9" s="442" t="s">
        <v>367</v>
      </c>
      <c r="Z9" s="443"/>
      <c r="AA9" s="60"/>
      <c r="AC9" s="27" t="s">
        <v>375</v>
      </c>
    </row>
    <row r="10" spans="1:97" ht="25" customHeight="1" x14ac:dyDescent="0.25">
      <c r="A10" s="290" t="s">
        <v>0</v>
      </c>
      <c r="B10" s="311"/>
      <c r="C10" s="291" t="str">
        <f>IF(B10="","",IFERROR(VLOOKUP($B$6&amp;$B10,'LISTE JOUEURS'!$P:$S,2,0),"")) &amp;" "&amp; IF(B10="","",IFERROR(VLOOKUP($B$6&amp;$B10,'LISTE JOUEURS'!$P:$S,3,0),""))</f>
        <v xml:space="preserve"> </v>
      </c>
      <c r="D10" s="292"/>
      <c r="E10" s="292"/>
      <c r="F10" s="292"/>
      <c r="G10" s="293"/>
      <c r="H10" s="293"/>
      <c r="I10" s="312" t="str">
        <f>IF(B10="","",IFERROR(VLOOKUP($B$6&amp;$B10,'LISTE JOUEURS'!$P:$U,4,0),500))</f>
        <v/>
      </c>
      <c r="J10" s="519" t="str">
        <f>IF(B10="","",IFERROR(VLOOKUP($B$6&amp;$B10,'LISTE JOUEURS'!$P:$U,5,0),""))</f>
        <v/>
      </c>
      <c r="K10" s="520"/>
      <c r="L10" s="313"/>
      <c r="M10" s="293"/>
      <c r="N10" s="389"/>
      <c r="O10" s="294" t="s">
        <v>4</v>
      </c>
      <c r="P10" s="314"/>
      <c r="Q10" s="295" t="str">
        <f>IF(P10="","",IFERROR(VLOOKUP($N$6&amp;$P10,'LISTE JOUEURS'!$P:$S,2,0),""))&amp; " "&amp;IF(P10="","",IFERROR(VLOOKUP($N$6&amp;$P10,'LISTE JOUEURS'!$P:$S,3,0),""))</f>
        <v xml:space="preserve"> </v>
      </c>
      <c r="R10" s="292"/>
      <c r="S10" s="292"/>
      <c r="T10" s="292"/>
      <c r="U10" s="293"/>
      <c r="V10" s="293"/>
      <c r="W10" s="293"/>
      <c r="X10" s="312" t="str">
        <f>IF(P10="","",IFERROR(VLOOKUP($N$6&amp;$P10,'LISTE JOUEURS'!$P:$U,4,0),500))</f>
        <v/>
      </c>
      <c r="Y10" s="521" t="str">
        <f>IF(P10="","",IFERROR(VLOOKUP($N$6&amp;$P10,'LISTE JOUEURS'!$P:$U,5,0),""))</f>
        <v/>
      </c>
      <c r="Z10" s="522"/>
      <c r="AA10" s="296"/>
      <c r="AC10" s="27" t="s">
        <v>394</v>
      </c>
      <c r="AM10" s="2"/>
      <c r="AN10" s="4"/>
      <c r="BL10" s="21" t="s">
        <v>31</v>
      </c>
      <c r="BM10" s="22" t="s">
        <v>29</v>
      </c>
      <c r="BN10" s="23" t="s">
        <v>30</v>
      </c>
    </row>
    <row r="11" spans="1:97" ht="25" customHeight="1" x14ac:dyDescent="0.25">
      <c r="A11" s="350" t="s">
        <v>1</v>
      </c>
      <c r="B11" s="351"/>
      <c r="C11" s="352" t="str">
        <f>IF(B11="","",IFERROR(VLOOKUP($B$6&amp;$B11,'LISTE JOUEURS'!$P:$S,2,0),"")) &amp;" "&amp; IF(B11="","",IFERROR(VLOOKUP($B$6&amp;$B11,'LISTE JOUEURS'!$P:$S,3,0),""))</f>
        <v xml:space="preserve"> </v>
      </c>
      <c r="D11" s="353"/>
      <c r="E11" s="353"/>
      <c r="F11" s="353"/>
      <c r="G11" s="353"/>
      <c r="H11" s="353"/>
      <c r="I11" s="354" t="str">
        <f>IF(B11="","",IFERROR(VLOOKUP($B$6&amp;$B11,'LISTE JOUEURS'!$P:$U,4,0),500))</f>
        <v/>
      </c>
      <c r="J11" s="535" t="str">
        <f>IF(B11="","",IFERROR(VLOOKUP($B$6&amp;$B11,'LISTE JOUEURS'!$P:$U,5,0),""))</f>
        <v/>
      </c>
      <c r="K11" s="536"/>
      <c r="L11" s="355"/>
      <c r="M11" s="353"/>
      <c r="N11" s="392"/>
      <c r="O11" s="356" t="s">
        <v>5</v>
      </c>
      <c r="P11" s="357"/>
      <c r="Q11" s="358" t="str">
        <f>IF(P11="","",IFERROR(VLOOKUP($N$6&amp;$P11,'LISTE JOUEURS'!$P:$S,2,0),""))&amp; " "&amp;IF(P11="","",IFERROR(VLOOKUP($N$6&amp;$P11,'LISTE JOUEURS'!$P:$S,3,0),""))</f>
        <v xml:space="preserve"> </v>
      </c>
      <c r="R11" s="353"/>
      <c r="S11" s="353"/>
      <c r="T11" s="353"/>
      <c r="U11" s="359"/>
      <c r="V11" s="359"/>
      <c r="W11" s="359"/>
      <c r="X11" s="354" t="str">
        <f>IF(P11="","",IFERROR(VLOOKUP($N$6&amp;$P11,'LISTE JOUEURS'!$P:$U,4,0),500))</f>
        <v/>
      </c>
      <c r="Y11" s="537" t="str">
        <f>IF(P11="","",IFERROR(VLOOKUP($N$6&amp;$P11,'LISTE JOUEURS'!$P:$U,5,0),""))</f>
        <v/>
      </c>
      <c r="Z11" s="538"/>
      <c r="AA11" s="360"/>
      <c r="AC11" s="27" t="s">
        <v>395</v>
      </c>
      <c r="BL11" s="29" t="s">
        <v>32</v>
      </c>
      <c r="BM11" s="30" t="str">
        <f>'Coupes départementales'!$D$2</f>
        <v/>
      </c>
      <c r="BN11" s="31">
        <f>IFERROR(IF(L17=1,VLOOKUP(B6&amp;B10,'LISTE JOUEURS'!$P:$U,6,0),VLOOKUP(N6&amp;P10,'LISTE JOUEURS'!$P:$U,6,0)),0)</f>
        <v>0</v>
      </c>
      <c r="BO11" t="e">
        <f>+_xlfn.XLOOKUP(BN11,'LISTE JOUEURS'!$U:$U,'LISTE JOUEURS'!$Q:$Q)&amp;" "&amp;_xlfn.XLOOKUP(BN11,'LISTE JOUEURS'!$U:$U,'LISTE JOUEURS'!$R:$R)</f>
        <v>#N/A</v>
      </c>
    </row>
    <row r="12" spans="1:97" ht="25" customHeight="1" x14ac:dyDescent="0.25">
      <c r="A12" s="541" t="s">
        <v>464</v>
      </c>
      <c r="B12" s="361"/>
      <c r="C12" s="291" t="str">
        <f>IF(B12="","",IFERROR(VLOOKUP($B$6&amp;$B12,'LISTE JOUEURS'!$P:$S,2,0),"")) &amp;" "&amp; IF(B12="","",IFERROR(VLOOKUP($B$6&amp;$B12,'LISTE JOUEURS'!$P:$S,3,0),""))</f>
        <v xml:space="preserve"> </v>
      </c>
      <c r="D12" s="292"/>
      <c r="E12" s="292"/>
      <c r="F12" s="292"/>
      <c r="G12" s="293"/>
      <c r="H12" s="293"/>
      <c r="I12" s="312" t="str">
        <f>IF(B12="","",IFERROR(VLOOKUP($B$6&amp;$B12,'LISTE JOUEURS'!$P:$U,4,0),500))</f>
        <v/>
      </c>
      <c r="J12" s="519" t="str">
        <f>IF(B12="","",IFERROR(VLOOKUP($B$6&amp;$B12,'LISTE JOUEURS'!$P:$U,5,0),""))</f>
        <v/>
      </c>
      <c r="K12" s="520"/>
      <c r="L12" s="313"/>
      <c r="M12" s="293"/>
      <c r="N12" s="389"/>
      <c r="O12" s="543" t="s">
        <v>464</v>
      </c>
      <c r="P12" s="362"/>
      <c r="Q12" s="295" t="str">
        <f>IF(P12="","",IFERROR(VLOOKUP($N$6&amp;$P12,'LISTE JOUEURS'!$P:$S,2,0),""))&amp; " "&amp;IF(P12="","",IFERROR(VLOOKUP($N$6&amp;$P12,'LISTE JOUEURS'!$P:$S,3,0),""))</f>
        <v xml:space="preserve"> </v>
      </c>
      <c r="R12" s="292"/>
      <c r="S12" s="292"/>
      <c r="T12" s="292"/>
      <c r="U12" s="293"/>
      <c r="V12" s="293"/>
      <c r="W12" s="293"/>
      <c r="X12" s="312" t="str">
        <f>IF(P12="","",IFERROR(VLOOKUP($N$6&amp;$P12,'LISTE JOUEURS'!$P:$U,4,0),500))</f>
        <v/>
      </c>
      <c r="Y12" s="521" t="str">
        <f>IF(P12="","",IFERROR(VLOOKUP($N$6&amp;$P12,'LISTE JOUEURS'!$P:$U,5,0),""))</f>
        <v/>
      </c>
      <c r="Z12" s="522"/>
      <c r="AA12" s="296"/>
      <c r="AC12" s="27" t="s">
        <v>404</v>
      </c>
      <c r="BL12" s="29" t="s">
        <v>33</v>
      </c>
      <c r="BM12" s="30" t="str">
        <f>'Coupes départementales'!$D$2</f>
        <v/>
      </c>
      <c r="BN12" s="31">
        <f>IFERROR(IF(L17=0,VLOOKUP(B6&amp;B10,'LISTE JOUEURS'!$P:$U,6,0),VLOOKUP(N6&amp;P10,'LISTE JOUEURS'!$P:$U,6,0)),0)</f>
        <v>0</v>
      </c>
      <c r="BO12" t="e">
        <f>+_xlfn.XLOOKUP(BN12,'LISTE JOUEURS'!$U:$U,'LISTE JOUEURS'!$Q:$Q)&amp;" "&amp;_xlfn.XLOOKUP(BN12,'LISTE JOUEURS'!$U:$U,'LISTE JOUEURS'!$R:$R)</f>
        <v>#N/A</v>
      </c>
    </row>
    <row r="13" spans="1:97" ht="25" customHeight="1" thickBot="1" x14ac:dyDescent="0.3">
      <c r="A13" s="542"/>
      <c r="B13" s="363"/>
      <c r="C13" s="305" t="str">
        <f>IF(B13="","",IFERROR(VLOOKUP($B$6&amp;$B13,'LISTE JOUEURS'!$P:$S,2,0),"")) &amp;" "&amp; IF(B13="","",IFERROR(VLOOKUP($B$6&amp;$B13,'LISTE JOUEURS'!$P:$S,3,0),""))</f>
        <v xml:space="preserve"> </v>
      </c>
      <c r="D13" s="309"/>
      <c r="E13" s="309"/>
      <c r="F13" s="309"/>
      <c r="G13" s="309"/>
      <c r="H13" s="309"/>
      <c r="I13" s="320" t="str">
        <f>IF(B13="","",IFERROR(VLOOKUP($B$6&amp;$B13,'LISTE JOUEURS'!$P:$U,4,0),500))</f>
        <v/>
      </c>
      <c r="J13" s="514" t="str">
        <f>IF(B13="","",IFERROR(VLOOKUP($B$6&amp;$B13,'LISTE JOUEURS'!$P:$U,5,0),""))</f>
        <v/>
      </c>
      <c r="K13" s="515"/>
      <c r="L13" s="321"/>
      <c r="M13" s="309"/>
      <c r="N13" s="391"/>
      <c r="O13" s="544"/>
      <c r="P13" s="364"/>
      <c r="Q13" s="308" t="str">
        <f>IF(P13="","",IFERROR(VLOOKUP($N$6&amp;$P13,'LISTE JOUEURS'!$P:$S,2,0),""))&amp; " "&amp;IF(P13="","",IFERROR(VLOOKUP($N$6&amp;$P13,'LISTE JOUEURS'!$P:$S,3,0),""))</f>
        <v xml:space="preserve"> </v>
      </c>
      <c r="R13" s="309"/>
      <c r="S13" s="309"/>
      <c r="T13" s="309"/>
      <c r="U13" s="306"/>
      <c r="V13" s="306"/>
      <c r="W13" s="306"/>
      <c r="X13" s="320" t="str">
        <f>IF(P13="","",IFERROR(VLOOKUP($N$6&amp;$P13,'LISTE JOUEURS'!$P:$U,4,0),500))</f>
        <v/>
      </c>
      <c r="Y13" s="516" t="str">
        <f>IF(P13="","",IFERROR(VLOOKUP($N$6&amp;$P13,'LISTE JOUEURS'!$P:$U,5,0),""))</f>
        <v/>
      </c>
      <c r="Z13" s="517"/>
      <c r="AA13" s="310"/>
      <c r="AC13" s="27" t="s">
        <v>420</v>
      </c>
      <c r="BL13" s="29" t="s">
        <v>32</v>
      </c>
      <c r="BM13" s="30" t="str">
        <f>'Coupes départementales'!$D$2</f>
        <v/>
      </c>
      <c r="BN13" s="31">
        <f>IFERROR(IF(L18=1,VLOOKUP(B6&amp;B11,'LISTE JOUEURS'!$P:$U,6,0),VLOOKUP(N6&amp;P11,'LISTE JOUEURS'!$P:$U,6,0)),0)</f>
        <v>0</v>
      </c>
      <c r="BO13" t="e">
        <f>+_xlfn.XLOOKUP(BN13,'LISTE JOUEURS'!$U:$U,'LISTE JOUEURS'!$Q:$Q)&amp;" "&amp;_xlfn.XLOOKUP(BN13,'LISTE JOUEURS'!$U:$U,'LISTE JOUEURS'!$R:$R)</f>
        <v>#N/A</v>
      </c>
    </row>
    <row r="14" spans="1:97" ht="21" customHeight="1" thickTop="1" x14ac:dyDescent="0.2">
      <c r="AC14" s="79" t="s">
        <v>419</v>
      </c>
      <c r="BL14" s="29" t="s">
        <v>33</v>
      </c>
      <c r="BM14" s="30" t="str">
        <f>'Coupes départementales'!$D$2</f>
        <v/>
      </c>
      <c r="BN14" s="31">
        <f>IFERROR(IF(L18=0,VLOOKUP(B6&amp;B11,'LISTE JOUEURS'!$P:$U,6,0),VLOOKUP(N6&amp;P11,'LISTE JOUEURS'!$P:$U,6,0)),0)</f>
        <v>0</v>
      </c>
      <c r="BO14" t="e">
        <f>+_xlfn.XLOOKUP(BN14,'LISTE JOUEURS'!$U:$U,'LISTE JOUEURS'!$Q:$Q)&amp;" "&amp;_xlfn.XLOOKUP(BN14,'LISTE JOUEURS'!$U:$U,'LISTE JOUEURS'!$R:$R)</f>
        <v>#N/A</v>
      </c>
    </row>
    <row r="15" spans="1:97" ht="21" customHeight="1" thickBot="1" x14ac:dyDescent="0.25">
      <c r="J15" s="27" t="s">
        <v>463</v>
      </c>
      <c r="BL15" s="29" t="s">
        <v>32</v>
      </c>
      <c r="BM15" s="30" t="str">
        <f>'Coupes départementales'!$D$2</f>
        <v/>
      </c>
      <c r="BN15" s="31">
        <f>IFERROR(IF(L20=1,VLOOKUP(B6&amp;B11,'LISTE JOUEURS'!$P:$U,6,0),VLOOKUP(N6&amp;P10,'LISTE JOUEURS'!$P:$U,6,0)),0)</f>
        <v>0</v>
      </c>
      <c r="BO15" t="e">
        <f>+_xlfn.XLOOKUP(BN15,'LISTE JOUEURS'!$U:$U,'LISTE JOUEURS'!$Q:$Q)&amp;" "&amp;_xlfn.XLOOKUP(BN15,'LISTE JOUEURS'!$U:$U,'LISTE JOUEURS'!$R:$R)</f>
        <v>#N/A</v>
      </c>
    </row>
    <row r="16" spans="1:97" ht="21" customHeight="1" thickTop="1" x14ac:dyDescent="0.25">
      <c r="A16" s="70" t="s">
        <v>12</v>
      </c>
      <c r="B16" s="72" t="s">
        <v>13</v>
      </c>
      <c r="C16" s="72" t="s">
        <v>14</v>
      </c>
      <c r="D16" s="72" t="s">
        <v>15</v>
      </c>
      <c r="E16" s="72" t="s">
        <v>16</v>
      </c>
      <c r="F16" s="97" t="str">
        <f>B6&amp;" "&amp;F6</f>
        <v xml:space="preserve"> </v>
      </c>
      <c r="G16" s="59"/>
      <c r="H16" s="59"/>
      <c r="I16" s="59"/>
      <c r="J16" s="59"/>
      <c r="K16" s="59"/>
      <c r="L16" s="71" t="s">
        <v>388</v>
      </c>
      <c r="M16" s="59"/>
      <c r="N16" s="71" t="s">
        <v>389</v>
      </c>
      <c r="O16" s="97" t="str">
        <f>N6&amp;" "&amp;R6</f>
        <v xml:space="preserve"> </v>
      </c>
      <c r="P16" s="97"/>
      <c r="Q16" s="97"/>
      <c r="R16" s="57"/>
      <c r="S16" s="57"/>
      <c r="T16" s="57"/>
      <c r="U16" s="99" t="s">
        <v>371</v>
      </c>
      <c r="V16" s="59"/>
      <c r="W16" s="59"/>
      <c r="X16" s="59"/>
      <c r="Y16" s="59"/>
      <c r="Z16" s="59"/>
      <c r="AA16" s="60"/>
      <c r="AC16" s="126" t="s">
        <v>158</v>
      </c>
      <c r="AD16" s="191" t="s">
        <v>141</v>
      </c>
      <c r="AI16" t="s">
        <v>997</v>
      </c>
      <c r="AJ16" t="s">
        <v>998</v>
      </c>
      <c r="AK16" t="s">
        <v>999</v>
      </c>
      <c r="AL16" t="s">
        <v>1000</v>
      </c>
      <c r="AM16" t="s">
        <v>1001</v>
      </c>
      <c r="AN16" t="s">
        <v>997</v>
      </c>
      <c r="AO16" t="s">
        <v>998</v>
      </c>
      <c r="AP16" t="s">
        <v>999</v>
      </c>
      <c r="AQ16" t="s">
        <v>1000</v>
      </c>
      <c r="AR16" t="s">
        <v>1001</v>
      </c>
      <c r="AS16" t="s">
        <v>997</v>
      </c>
      <c r="AT16" t="s">
        <v>998</v>
      </c>
      <c r="AU16" t="s">
        <v>999</v>
      </c>
      <c r="AV16" t="s">
        <v>1000</v>
      </c>
      <c r="AW16" t="s">
        <v>1001</v>
      </c>
      <c r="BL16" s="29" t="s">
        <v>33</v>
      </c>
      <c r="BM16" s="30" t="str">
        <f>'Coupes départementales'!$D$2</f>
        <v/>
      </c>
      <c r="BN16" s="31">
        <f>IFERROR(IF(L20=0,VLOOKUP(B6&amp;B11,'LISTE JOUEURS'!$P:$U,6,0),VLOOKUP(N6&amp;P10,'LISTE JOUEURS'!$P:$U,6,0)),0)</f>
        <v>0</v>
      </c>
      <c r="BO16" t="e">
        <f>+_xlfn.XLOOKUP(BN16,'LISTE JOUEURS'!$U:$U,'LISTE JOUEURS'!$Q:$Q)&amp;" "&amp;_xlfn.XLOOKUP(BN16,'LISTE JOUEURS'!$U:$U,'LISTE JOUEURS'!$R:$R)</f>
        <v>#N/A</v>
      </c>
    </row>
    <row r="17" spans="1:67" ht="25" customHeight="1" x14ac:dyDescent="0.2">
      <c r="A17" s="323"/>
      <c r="B17" s="324"/>
      <c r="C17" s="324"/>
      <c r="D17" s="324"/>
      <c r="E17" s="324"/>
      <c r="F17" s="293" t="str">
        <f>C10</f>
        <v xml:space="preserve"> </v>
      </c>
      <c r="G17" s="292"/>
      <c r="H17" s="292"/>
      <c r="I17" s="292"/>
      <c r="J17" s="292"/>
      <c r="K17" s="292"/>
      <c r="L17" s="365" t="str">
        <f>IF(ISNUMBER(A17),IF(OR(COUNTIF(A17:E17,"&gt;=0")&gt;3,COUNTIF(A17:E17,"&lt;0")&gt;3),"XXX",IF((COUNTIF(A17:E17,"&gt;=0")-COUNTIF(A17:E17,"&lt;0"))&lt;0,0,1)),IF(OR(RIGHT(F17,4)="W.O.",A17=-88,A17=-99),0,IF(OR(RIGHT(O17,4)="W.O.",A17=99,A17=88),1,"")))</f>
        <v/>
      </c>
      <c r="M17" s="326" t="s">
        <v>8</v>
      </c>
      <c r="N17" s="365" t="str">
        <f>IF(AND(ISNUMBER(A17),ISNUMBER(L17)),1-L17,IF(O17="Forfait W.O.",0,IF(F17="Forfait W.O.",1,"")))</f>
        <v/>
      </c>
      <c r="O17" s="293" t="str">
        <f>+Q10</f>
        <v xml:space="preserve"> </v>
      </c>
      <c r="P17" s="292"/>
      <c r="Q17" s="292"/>
      <c r="R17" s="292"/>
      <c r="S17" s="292"/>
      <c r="T17" s="292"/>
      <c r="U17" s="327" t="str">
        <f>IF(OR(COUNTIF(A17:E17,"&gt;=0")&gt;3,COUNTIF(A17:E17,"&lt;0")&gt;3),"Sets mal notés. Refaire la saisie svp",IF(ABS(A17)=99,"Abandon avant le début de la partie",IF(ABS(A17)=88,"Abandon en cours de partie"," ")))</f>
        <v xml:space="preserve"> </v>
      </c>
      <c r="V17" s="293"/>
      <c r="W17" s="293"/>
      <c r="X17" s="293"/>
      <c r="Y17" s="293"/>
      <c r="Z17" s="293"/>
      <c r="AA17" s="296"/>
      <c r="AI17">
        <f t="shared" ref="AI17:AM21" si="0">IF(A17&gt;0,1,IF(A17&lt;0,-1,0))</f>
        <v>0</v>
      </c>
      <c r="AJ17">
        <f t="shared" si="0"/>
        <v>0</v>
      </c>
      <c r="AK17">
        <f t="shared" si="0"/>
        <v>0</v>
      </c>
      <c r="AL17">
        <f t="shared" si="0"/>
        <v>0</v>
      </c>
      <c r="AM17">
        <f t="shared" si="0"/>
        <v>0</v>
      </c>
      <c r="AN17" s="3">
        <f>IF(AND(A17&gt;0,A17&lt;10),11,IF(AND(A17&gt;0,A17&gt;9),A17+2,IF(AND(A17&lt;0,A17&gt;-10),-11,IF(AND(A17&lt;0,A17&lt;-9),A17-2,0))))</f>
        <v>0</v>
      </c>
      <c r="AO17" s="3">
        <f t="shared" ref="AO17:AR21" si="1">IF(AND(B17&gt;0,B17&lt;10),11,IF(AND(B17&gt;0,B17&gt;9),B17+2,IF(AND(B17&lt;0,B17&gt;-10),-11,IF(AND(B17&lt;0,B17&lt;-9),B17-2,0))))</f>
        <v>0</v>
      </c>
      <c r="AP17" s="3">
        <f t="shared" si="1"/>
        <v>0</v>
      </c>
      <c r="AQ17" s="3">
        <f t="shared" si="1"/>
        <v>0</v>
      </c>
      <c r="AR17" s="3">
        <f t="shared" si="1"/>
        <v>0</v>
      </c>
      <c r="AS17" s="202">
        <f>-A17</f>
        <v>0</v>
      </c>
      <c r="AT17" s="202">
        <f t="shared" ref="AT17:AW21" si="2">-B17</f>
        <v>0</v>
      </c>
      <c r="AU17" s="202">
        <f t="shared" si="2"/>
        <v>0</v>
      </c>
      <c r="AV17" s="202">
        <f t="shared" si="2"/>
        <v>0</v>
      </c>
      <c r="AW17" s="202">
        <f t="shared" si="2"/>
        <v>0</v>
      </c>
      <c r="AX17"/>
      <c r="AY17"/>
      <c r="AZ17"/>
      <c r="BL17" s="29" t="s">
        <v>32</v>
      </c>
      <c r="BM17" s="30" t="str">
        <f>'Coupes départementales'!$D$2</f>
        <v/>
      </c>
      <c r="BN17" s="31">
        <f>IFERROR(IF(L21=1,VLOOKUP(B6&amp;B10,'LISTE JOUEURS'!$P:$U,6,0),VLOOKUP(N6&amp;P11,'LISTE JOUEURS'!$P:$U,6,0)),0)</f>
        <v>0</v>
      </c>
      <c r="BO17" t="e">
        <f>+_xlfn.XLOOKUP(BN17,'LISTE JOUEURS'!$U:$U,'LISTE JOUEURS'!$Q:$Q)&amp;" "&amp;_xlfn.XLOOKUP(BN17,'LISTE JOUEURS'!$U:$U,'LISTE JOUEURS'!$R:$R)</f>
        <v>#N/A</v>
      </c>
    </row>
    <row r="18" spans="1:67" ht="17" thickBot="1" x14ac:dyDescent="0.25">
      <c r="A18" s="328"/>
      <c r="B18" s="329"/>
      <c r="C18" s="329"/>
      <c r="D18" s="329"/>
      <c r="E18" s="330"/>
      <c r="F18" s="302" t="str">
        <f>C11</f>
        <v xml:space="preserve"> </v>
      </c>
      <c r="G18" s="302"/>
      <c r="H18" s="302"/>
      <c r="I18" s="302"/>
      <c r="J18" s="302"/>
      <c r="K18" s="302"/>
      <c r="L18" s="366" t="str">
        <f>IF(ISNUMBER(A18),IF(OR(COUNTIF(A18:E18,"&gt;=0")&gt;3,COUNTIF(A18:E18,"&lt;0")&gt;3),"XXX",IF((COUNTIF(A18:E18,"&gt;=0")-COUNTIF(A18:E18,"&lt;0"))&lt;0,0,1)),IF(OR(RIGHT(F18,4)="W.O.",A18=-88,A18=-99),0,IF(OR(RIGHT(O18,4)="W.O.",A18=99,A18=88),1,"")))</f>
        <v/>
      </c>
      <c r="M18" s="332" t="s">
        <v>9</v>
      </c>
      <c r="N18" s="366" t="str">
        <f>IF(AND(ISNUMBER(A18),ISNUMBER(L18)),1-L18,IF(O18="Forfait W.O.",0,IF(F18="Forfait W.O.",1,"")))</f>
        <v/>
      </c>
      <c r="O18" s="302" t="str">
        <f>+Q11</f>
        <v xml:space="preserve"> </v>
      </c>
      <c r="P18" s="299"/>
      <c r="Q18" s="299"/>
      <c r="R18" s="299"/>
      <c r="S18" s="299"/>
      <c r="T18" s="299"/>
      <c r="U18" s="333" t="str">
        <f>IF(OR(COUNTIF(A18:E18,"&gt;=0")&gt;3,COUNTIF(A18:E18,"&lt;0")&gt;3),"Sets mal notés. Refaire la saisie svp",IF(ABS(A18)=99,"Abandon avant le début de la partie",IF(ABS(A18)=88,"Abandon en cours de partie"," ")))</f>
        <v xml:space="preserve"> </v>
      </c>
      <c r="V18" s="299"/>
      <c r="W18" s="302"/>
      <c r="X18" s="302"/>
      <c r="Y18" s="302"/>
      <c r="Z18" s="302"/>
      <c r="AA18" s="303"/>
      <c r="AC18" s="125" t="s">
        <v>25</v>
      </c>
      <c r="AD18" s="125" t="s">
        <v>26</v>
      </c>
      <c r="AE18" s="125" t="s">
        <v>370</v>
      </c>
      <c r="AF18" s="173" t="s">
        <v>489</v>
      </c>
      <c r="AI18">
        <f t="shared" si="0"/>
        <v>0</v>
      </c>
      <c r="AJ18">
        <f t="shared" si="0"/>
        <v>0</v>
      </c>
      <c r="AK18">
        <f t="shared" si="0"/>
        <v>0</v>
      </c>
      <c r="AL18">
        <f t="shared" si="0"/>
        <v>0</v>
      </c>
      <c r="AM18">
        <f t="shared" si="0"/>
        <v>0</v>
      </c>
      <c r="AN18" s="3">
        <f t="shared" ref="AN18:AN21" si="3">IF(AND(A18&gt;0,A18&lt;10),11,IF(AND(A18&gt;0,A18&gt;9),A18+2,IF(AND(A18&lt;0,A18&gt;-10),-11,IF(AND(A18&lt;0,A18&lt;-9),A18-2,0))))</f>
        <v>0</v>
      </c>
      <c r="AO18" s="3">
        <f t="shared" si="1"/>
        <v>0</v>
      </c>
      <c r="AP18" s="3">
        <f t="shared" si="1"/>
        <v>0</v>
      </c>
      <c r="AQ18" s="3">
        <f t="shared" si="1"/>
        <v>0</v>
      </c>
      <c r="AR18" s="3">
        <f t="shared" si="1"/>
        <v>0</v>
      </c>
      <c r="AS18" s="202">
        <f t="shared" ref="AS18:AS21" si="4">-A18</f>
        <v>0</v>
      </c>
      <c r="AT18" s="202">
        <f t="shared" si="2"/>
        <v>0</v>
      </c>
      <c r="AU18" s="202">
        <f t="shared" si="2"/>
        <v>0</v>
      </c>
      <c r="AV18" s="202">
        <f t="shared" si="2"/>
        <v>0</v>
      </c>
      <c r="AW18" s="202">
        <f t="shared" si="2"/>
        <v>0</v>
      </c>
      <c r="AX18"/>
      <c r="AY18"/>
      <c r="AZ18"/>
      <c r="BL18" s="32" t="s">
        <v>33</v>
      </c>
      <c r="BM18" s="33" t="str">
        <f>'Coupes départementales'!$D$2</f>
        <v/>
      </c>
      <c r="BN18" s="34">
        <f>IFERROR(IF(L21=0,VLOOKUP(B6&amp;B10,'LISTE JOUEURS'!$P:$U,6,0),VLOOKUP(N6&amp;P11,'LISTE JOUEURS'!$P:$U,6,0)),0)</f>
        <v>0</v>
      </c>
      <c r="BO18" t="e">
        <f>+_xlfn.XLOOKUP(BN18,'LISTE JOUEURS'!$U:$U,'LISTE JOUEURS'!$Q:$Q)&amp;" "&amp;_xlfn.XLOOKUP(BN18,'LISTE JOUEURS'!$U:$U,'LISTE JOUEURS'!$R:$R)</f>
        <v>#N/A</v>
      </c>
    </row>
    <row r="19" spans="1:67" x14ac:dyDescent="0.2">
      <c r="A19" s="328"/>
      <c r="B19" s="329"/>
      <c r="C19" s="329"/>
      <c r="D19" s="329"/>
      <c r="E19" s="330"/>
      <c r="F19" s="302" t="str">
        <f>IF(OR(B12="",B13=""),"",IF(OR(F17="Forfait W.O.",F18="Forfait W.O."),B6&amp;" "&amp;F6&amp;" W.O.",VLOOKUP($B$6&amp;$B12,'LISTE JOUEURS'!$P:$S,2,0)&amp;" et "&amp;VLOOKUP($B$6&amp;$B13,'LISTE JOUEURS'!$P:$S,2,0)))</f>
        <v/>
      </c>
      <c r="G19" s="302"/>
      <c r="H19" s="302"/>
      <c r="I19" s="302"/>
      <c r="J19" s="302"/>
      <c r="K19" s="302"/>
      <c r="L19" s="366" t="str">
        <f>IF(ISNUMBER(A19),IF(OR(COUNTIF(A19:E19,"&gt;=0")&gt;3,COUNTIF(A19:E19,"&lt;0")&gt;3),"XXX",IF((COUNTIF(A19:E19,"&gt;=0")-COUNTIF(A19:E19,"&lt;0"))&lt;0,0,1)),IF(OR(RIGHT(F19,4)="W.O.",A19=-88,A19=-99),0,IF(OR(RIGHT(O19,4)="W.O.",A19=99,A19=88),1,"")))</f>
        <v/>
      </c>
      <c r="M19" s="332" t="s">
        <v>464</v>
      </c>
      <c r="N19" s="366" t="str">
        <f>IF(AND(ISNUMBER(A19),ISNUMBER(L19)),1-L19,IF(O19="Forfait W.O.",0,IF(F19="Forfait W.O.",1,"")))</f>
        <v/>
      </c>
      <c r="O19" s="302" t="str">
        <f>IF(OR(P12="",P13=""),"",IF(OR(O17="Forfait W.O.",O18="Forfait W.O."),N6&amp;" "&amp;R6&amp;" W.O.",VLOOKUP($N$6&amp;$P12,'LISTE JOUEURS'!$P:$S,2,0)&amp;" et "&amp;VLOOKUP($N$6&amp;$P13,'LISTE JOUEURS'!$P:$S,2,0)))</f>
        <v/>
      </c>
      <c r="P19" s="299"/>
      <c r="Q19" s="299"/>
      <c r="R19" s="299"/>
      <c r="S19" s="299"/>
      <c r="T19" s="299"/>
      <c r="U19" s="333" t="str">
        <f>IF(OR(COUNTIF(A19:E19,"&gt;=0")&gt;3,COUNTIF(A19:E19,"&lt;0")&gt;3),"Sets mal notés. Refaire la saisie svp",IF(ABS(A19)=99,"Abandon avant le début de la partie",IF(ABS(A19)=88,"Abandon en cours de partie"," ")))</f>
        <v xml:space="preserve"> </v>
      </c>
      <c r="V19" s="302"/>
      <c r="W19" s="302"/>
      <c r="X19" s="302"/>
      <c r="Y19" s="302"/>
      <c r="Z19" s="302"/>
      <c r="AA19" s="303"/>
      <c r="AC19" s="3" t="s">
        <v>1067</v>
      </c>
      <c r="AD19" t="s">
        <v>1089</v>
      </c>
      <c r="AE19" s="9">
        <v>1</v>
      </c>
      <c r="AF19" t="s">
        <v>1856</v>
      </c>
      <c r="AI19">
        <f t="shared" si="0"/>
        <v>0</v>
      </c>
      <c r="AJ19">
        <f t="shared" si="0"/>
        <v>0</v>
      </c>
      <c r="AK19">
        <f t="shared" si="0"/>
        <v>0</v>
      </c>
      <c r="AL19">
        <f t="shared" si="0"/>
        <v>0</v>
      </c>
      <c r="AM19">
        <f t="shared" si="0"/>
        <v>0</v>
      </c>
      <c r="AN19" s="3">
        <f t="shared" si="3"/>
        <v>0</v>
      </c>
      <c r="AO19" s="3">
        <f t="shared" si="1"/>
        <v>0</v>
      </c>
      <c r="AP19" s="3">
        <f t="shared" si="1"/>
        <v>0</v>
      </c>
      <c r="AQ19" s="3">
        <f t="shared" si="1"/>
        <v>0</v>
      </c>
      <c r="AR19" s="3">
        <f t="shared" si="1"/>
        <v>0</v>
      </c>
      <c r="AS19" s="202">
        <f t="shared" si="4"/>
        <v>0</v>
      </c>
      <c r="AT19" s="202">
        <f t="shared" si="2"/>
        <v>0</v>
      </c>
      <c r="AU19" s="202">
        <f t="shared" si="2"/>
        <v>0</v>
      </c>
      <c r="AV19" s="202">
        <f t="shared" si="2"/>
        <v>0</v>
      </c>
      <c r="AW19" s="202">
        <f t="shared" si="2"/>
        <v>0</v>
      </c>
      <c r="AX19"/>
      <c r="AY19"/>
      <c r="AZ19"/>
    </row>
    <row r="20" spans="1:67" x14ac:dyDescent="0.2">
      <c r="A20" s="328"/>
      <c r="B20" s="329"/>
      <c r="C20" s="329"/>
      <c r="D20" s="329"/>
      <c r="E20" s="330"/>
      <c r="F20" s="302" t="str">
        <f>C11</f>
        <v xml:space="preserve"> </v>
      </c>
      <c r="G20" s="302"/>
      <c r="H20" s="302"/>
      <c r="I20" s="302"/>
      <c r="J20" s="302"/>
      <c r="K20" s="302"/>
      <c r="L20" s="366" t="str">
        <f>IF(ISNUMBER(A20),IF(OR(COUNTIF(A20:E20,"&gt;=0")&gt;3,COUNTIF(A20:E20,"&lt;0")&gt;3),"XXX",IF((COUNTIF(A20:E20,"&gt;=0")-COUNTIF(A20:E20,"&lt;0"))&lt;0,0,1)),IF(OR(RIGHT(F20,4)="W.O.",A20=-88,A20=-99),0,IF(OR(RIGHT(O20,4)="W.O.",A20=99,A20=88),1,"")))</f>
        <v/>
      </c>
      <c r="M20" s="332" t="s">
        <v>10</v>
      </c>
      <c r="N20" s="366" t="str">
        <f>IF(AND(ISNUMBER(A20),ISNUMBER(L20)),1-L20,IF(O20="Forfait W.O.",0,IF(F20="Forfait W.O.",1,"")))</f>
        <v/>
      </c>
      <c r="O20" s="302" t="str">
        <f>Q10</f>
        <v xml:space="preserve"> </v>
      </c>
      <c r="P20" s="299"/>
      <c r="Q20" s="299"/>
      <c r="R20" s="299"/>
      <c r="S20" s="299"/>
      <c r="T20" s="299"/>
      <c r="U20" s="333" t="str">
        <f>IF(OR(COUNTIF(A20:E20,"&gt;=0")&gt;3,COUNTIF(A20:E20,"&lt;0")&gt;3),"Sets mal notés. Refaire la saisie svp",IF(ABS(A20)=99,"Abandon avant le début de la partie",IF(ABS(A20)=88,"Abandon en cours de partie"," ")))</f>
        <v xml:space="preserve"> </v>
      </c>
      <c r="V20" s="302"/>
      <c r="W20" s="302"/>
      <c r="X20" s="302"/>
      <c r="Y20" s="302"/>
      <c r="Z20" s="302"/>
      <c r="AA20" s="303"/>
      <c r="AC20" s="3" t="s">
        <v>34</v>
      </c>
      <c r="AD20" t="s">
        <v>278</v>
      </c>
      <c r="AE20" s="9">
        <v>2</v>
      </c>
      <c r="AF20" t="s">
        <v>1643</v>
      </c>
      <c r="AI20">
        <f t="shared" si="0"/>
        <v>0</v>
      </c>
      <c r="AJ20">
        <f t="shared" si="0"/>
        <v>0</v>
      </c>
      <c r="AK20">
        <f t="shared" si="0"/>
        <v>0</v>
      </c>
      <c r="AL20">
        <f t="shared" si="0"/>
        <v>0</v>
      </c>
      <c r="AM20">
        <f t="shared" si="0"/>
        <v>0</v>
      </c>
      <c r="AN20" s="3">
        <f t="shared" si="3"/>
        <v>0</v>
      </c>
      <c r="AO20" s="3">
        <f t="shared" si="1"/>
        <v>0</v>
      </c>
      <c r="AP20" s="3">
        <f t="shared" si="1"/>
        <v>0</v>
      </c>
      <c r="AQ20" s="3">
        <f t="shared" si="1"/>
        <v>0</v>
      </c>
      <c r="AR20" s="3">
        <f t="shared" si="1"/>
        <v>0</v>
      </c>
      <c r="AS20" s="202">
        <f t="shared" si="4"/>
        <v>0</v>
      </c>
      <c r="AT20" s="202">
        <f t="shared" si="2"/>
        <v>0</v>
      </c>
      <c r="AU20" s="202">
        <f t="shared" si="2"/>
        <v>0</v>
      </c>
      <c r="AV20" s="202">
        <f t="shared" si="2"/>
        <v>0</v>
      </c>
      <c r="AW20" s="202">
        <f t="shared" si="2"/>
        <v>0</v>
      </c>
      <c r="AX20"/>
      <c r="AY20"/>
      <c r="AZ20"/>
    </row>
    <row r="21" spans="1:67" ht="17" thickBot="1" x14ac:dyDescent="0.25">
      <c r="A21" s="334"/>
      <c r="B21" s="335"/>
      <c r="C21" s="335"/>
      <c r="D21" s="335"/>
      <c r="E21" s="335"/>
      <c r="F21" s="309" t="str">
        <f>C10</f>
        <v xml:space="preserve"> </v>
      </c>
      <c r="G21" s="306"/>
      <c r="H21" s="306"/>
      <c r="I21" s="306"/>
      <c r="J21" s="306"/>
      <c r="K21" s="306"/>
      <c r="L21" s="367" t="str">
        <f>IF(ISNUMBER(A21),IF(OR(COUNTIF(A21:E21,"&gt;=0")&gt;3,COUNTIF(A21:E21,"&lt;0")&gt;3),"XXX",IF((COUNTIF(A21:E21,"&gt;=0")-COUNTIF(A21:E21,"&lt;0"))&lt;0,0,1)),IF(OR(RIGHT(F21,4)="W.O.",A21=-88,A21=-99),0,IF(OR(RIGHT(O21,4)="W.O.",A21=99,A21=88),1,"")))</f>
        <v/>
      </c>
      <c r="M21" s="337" t="s">
        <v>11</v>
      </c>
      <c r="N21" s="367" t="str">
        <f>IF(AND(ISNUMBER(A21),ISNUMBER(L21)),1-L21,IF(O21="Forfait W.O.",0,IF(F21="Forfait W.O.",1,"")))</f>
        <v/>
      </c>
      <c r="O21" s="309" t="str">
        <f>Q11</f>
        <v xml:space="preserve"> </v>
      </c>
      <c r="P21" s="309"/>
      <c r="Q21" s="309"/>
      <c r="R21" s="309"/>
      <c r="S21" s="309"/>
      <c r="T21" s="309"/>
      <c r="U21" s="338" t="str">
        <f>IF(OR(COUNTIF(A21:E21,"&gt;=0")&gt;3,COUNTIF(A21:E21,"&lt;0")&gt;3),"Sets mal notés. Refaire la saisie svp",IF(ABS(A21)=99,"Abandon avant le début de la partie",IF(ABS(A21)=88,"Abandon en cours de partie"," ")))</f>
        <v xml:space="preserve"> </v>
      </c>
      <c r="V21" s="306"/>
      <c r="W21" s="306"/>
      <c r="X21" s="306"/>
      <c r="Y21" s="306"/>
      <c r="Z21" s="306"/>
      <c r="AA21" s="310"/>
      <c r="AC21" s="3" t="s">
        <v>35</v>
      </c>
      <c r="AD21" t="s">
        <v>279</v>
      </c>
      <c r="AE21" s="9">
        <v>3</v>
      </c>
      <c r="AF21" t="s">
        <v>1643</v>
      </c>
      <c r="AI21">
        <f t="shared" si="0"/>
        <v>0</v>
      </c>
      <c r="AJ21">
        <f t="shared" si="0"/>
        <v>0</v>
      </c>
      <c r="AK21">
        <f t="shared" si="0"/>
        <v>0</v>
      </c>
      <c r="AL21">
        <f t="shared" si="0"/>
        <v>0</v>
      </c>
      <c r="AM21">
        <f t="shared" si="0"/>
        <v>0</v>
      </c>
      <c r="AN21" s="3">
        <f t="shared" si="3"/>
        <v>0</v>
      </c>
      <c r="AO21" s="3">
        <f t="shared" si="1"/>
        <v>0</v>
      </c>
      <c r="AP21" s="3">
        <f t="shared" si="1"/>
        <v>0</v>
      </c>
      <c r="AQ21" s="3">
        <f t="shared" si="1"/>
        <v>0</v>
      </c>
      <c r="AR21" s="3">
        <f t="shared" si="1"/>
        <v>0</v>
      </c>
      <c r="AS21" s="202">
        <f t="shared" si="4"/>
        <v>0</v>
      </c>
      <c r="AT21" s="202">
        <f t="shared" si="2"/>
        <v>0</v>
      </c>
      <c r="AU21" s="202">
        <f t="shared" si="2"/>
        <v>0</v>
      </c>
      <c r="AV21" s="202">
        <f t="shared" si="2"/>
        <v>0</v>
      </c>
      <c r="AW21" s="202">
        <f t="shared" si="2"/>
        <v>0</v>
      </c>
      <c r="AX21"/>
      <c r="AY21"/>
      <c r="AZ21"/>
      <c r="BI21" t="s">
        <v>380</v>
      </c>
      <c r="BJ21" t="s">
        <v>398</v>
      </c>
    </row>
    <row r="22" spans="1:67" ht="17" thickTop="1" x14ac:dyDescent="0.2">
      <c r="AC22" s="3" t="s">
        <v>1064</v>
      </c>
      <c r="AD22" t="s">
        <v>293</v>
      </c>
      <c r="AE22" s="9">
        <v>4</v>
      </c>
      <c r="AF22" t="s">
        <v>1643</v>
      </c>
      <c r="AL22" s="3"/>
      <c r="AM22" s="3"/>
      <c r="AX22"/>
      <c r="AY22"/>
      <c r="AZ22"/>
      <c r="BJ22" t="s">
        <v>402</v>
      </c>
    </row>
    <row r="23" spans="1:67" ht="19" x14ac:dyDescent="0.25">
      <c r="I23" s="113" t="s">
        <v>465</v>
      </c>
      <c r="J23" s="103"/>
      <c r="K23" s="103"/>
      <c r="L23" s="104">
        <f>SUM(L17:L21)</f>
        <v>0</v>
      </c>
      <c r="M23" s="105"/>
      <c r="N23" s="106">
        <f>SUM(N17:N21)</f>
        <v>0</v>
      </c>
      <c r="AC23" s="3" t="s">
        <v>1065</v>
      </c>
      <c r="AD23" t="s">
        <v>1086</v>
      </c>
      <c r="AE23" s="9">
        <v>5</v>
      </c>
      <c r="AF23" t="s">
        <v>1856</v>
      </c>
      <c r="AL23" s="3"/>
      <c r="AM23" s="3"/>
      <c r="AX23"/>
      <c r="AY23"/>
      <c r="AZ23"/>
      <c r="BJ23" t="s">
        <v>382</v>
      </c>
    </row>
    <row r="24" spans="1:67" ht="21" customHeight="1" x14ac:dyDescent="0.2">
      <c r="AC24" s="3"/>
      <c r="AD24" t="s">
        <v>1087</v>
      </c>
      <c r="AE24" s="9">
        <v>6</v>
      </c>
      <c r="AF24" t="s">
        <v>1856</v>
      </c>
      <c r="AL24" s="3"/>
      <c r="AM24" s="3"/>
      <c r="AX24"/>
      <c r="AY24"/>
      <c r="AZ24"/>
      <c r="BJ24" t="s">
        <v>383</v>
      </c>
    </row>
    <row r="25" spans="1:67" x14ac:dyDescent="0.2">
      <c r="AC25" s="3" t="s">
        <v>1597</v>
      </c>
      <c r="AD25" t="s">
        <v>321</v>
      </c>
      <c r="AE25" s="9">
        <v>7</v>
      </c>
      <c r="AF25" t="s">
        <v>1856</v>
      </c>
      <c r="AL25" s="3"/>
      <c r="AM25" s="3"/>
      <c r="AU25"/>
      <c r="AV25"/>
      <c r="AW25"/>
      <c r="AX25"/>
      <c r="AY25"/>
      <c r="AZ25"/>
    </row>
    <row r="26" spans="1:67" ht="17" thickBot="1" x14ac:dyDescent="0.25">
      <c r="AC26" s="3" t="s">
        <v>36</v>
      </c>
      <c r="AD26" t="s">
        <v>280</v>
      </c>
      <c r="AE26" s="9">
        <v>8</v>
      </c>
      <c r="AF26" t="s">
        <v>1643</v>
      </c>
      <c r="AN26"/>
      <c r="AO26"/>
      <c r="AP26"/>
      <c r="AQ26"/>
      <c r="AR26"/>
      <c r="AS26"/>
      <c r="AT26"/>
      <c r="AU26"/>
      <c r="AV26"/>
      <c r="AW26"/>
      <c r="AX26"/>
      <c r="AY26"/>
      <c r="AZ26"/>
    </row>
    <row r="27" spans="1:67" ht="20" thickTop="1" x14ac:dyDescent="0.25">
      <c r="A27" s="494" t="s">
        <v>397</v>
      </c>
      <c r="B27" s="495"/>
      <c r="C27" s="495"/>
      <c r="D27" s="495"/>
      <c r="E27" s="495"/>
      <c r="F27" s="495"/>
      <c r="G27" s="495"/>
      <c r="H27" s="495"/>
      <c r="I27" s="495"/>
      <c r="J27" s="495"/>
      <c r="K27" s="495"/>
      <c r="L27" s="495"/>
      <c r="M27" s="495"/>
      <c r="N27" s="495"/>
      <c r="O27" s="495"/>
      <c r="P27" s="495"/>
      <c r="Q27" s="495"/>
      <c r="R27" s="495"/>
      <c r="S27" s="495"/>
      <c r="T27" s="495"/>
      <c r="U27" s="495"/>
      <c r="V27" s="495"/>
      <c r="W27" s="495"/>
      <c r="X27" s="495"/>
      <c r="Y27" s="495"/>
      <c r="Z27" s="495"/>
      <c r="AA27" s="496"/>
      <c r="AC27" s="3" t="s">
        <v>1855</v>
      </c>
      <c r="AD27" t="s">
        <v>289</v>
      </c>
      <c r="AE27" s="9">
        <v>9</v>
      </c>
      <c r="AF27" t="s">
        <v>1643</v>
      </c>
      <c r="AS27" s="202"/>
      <c r="AT27" s="202"/>
      <c r="AU27" s="202"/>
      <c r="AV27" s="202"/>
      <c r="AW27" s="202"/>
      <c r="AX27"/>
      <c r="AY27"/>
      <c r="AZ27"/>
    </row>
    <row r="28" spans="1:67" ht="19" x14ac:dyDescent="0.25">
      <c r="A28" s="375" t="str">
        <f>IF((L23 )&gt;(N23),B6&amp;" "&amp;F6,IF((L23)=(N23),B6&amp;" "&amp;F6,N6&amp;" "&amp;R6))</f>
        <v xml:space="preserve"> </v>
      </c>
      <c r="B28" s="368"/>
      <c r="C28" s="368"/>
      <c r="D28" s="368"/>
      <c r="E28" s="376" t="str">
        <f>IF(A29=H29,"à égalité avec ","BAT")</f>
        <v xml:space="preserve">à égalité avec </v>
      </c>
      <c r="F28" s="368"/>
      <c r="G28" s="379"/>
      <c r="H28" s="380" t="str">
        <f>IF((L23)&lt;(N23),B6&amp;" "&amp;F6,IF((L23)=(N23),N6&amp;" "&amp;R6,N6&amp;" "&amp;R6))</f>
        <v xml:space="preserve"> </v>
      </c>
      <c r="I28" s="378"/>
      <c r="J28" s="81" t="str">
        <f>"Cap. "&amp;O16</f>
        <v xml:space="preserve">Cap.  </v>
      </c>
      <c r="K28" s="84"/>
      <c r="L28" s="368"/>
      <c r="M28" s="368"/>
      <c r="N28" s="497"/>
      <c r="O28" s="498"/>
      <c r="P28" s="498"/>
      <c r="Q28" s="498"/>
      <c r="R28" s="499"/>
      <c r="S28" s="83" t="s">
        <v>127</v>
      </c>
      <c r="T28" s="85"/>
      <c r="U28" s="84"/>
      <c r="V28" s="84"/>
      <c r="W28" s="84"/>
      <c r="X28" s="84"/>
      <c r="Y28" s="84"/>
      <c r="Z28" s="368"/>
      <c r="AA28" s="381"/>
      <c r="AC28" s="3" t="s">
        <v>854</v>
      </c>
      <c r="AD28" t="s">
        <v>291</v>
      </c>
      <c r="AE28" s="9">
        <v>10</v>
      </c>
      <c r="AF28" t="s">
        <v>1643</v>
      </c>
      <c r="AS28" s="202"/>
      <c r="AT28" s="202"/>
      <c r="AU28" s="202"/>
      <c r="AV28" s="202"/>
      <c r="AW28" s="202"/>
      <c r="AX28"/>
      <c r="AY28"/>
      <c r="AZ28"/>
      <c r="BI28" t="s">
        <v>384</v>
      </c>
      <c r="BJ28">
        <v>1</v>
      </c>
    </row>
    <row r="29" spans="1:67" ht="19" x14ac:dyDescent="0.25">
      <c r="A29" s="80" t="str">
        <f>IF((L23)&gt;(N23),(L23)&amp;" points",(N23)&amp;" points")</f>
        <v>0 points</v>
      </c>
      <c r="B29" s="27"/>
      <c r="C29" s="27"/>
      <c r="D29" s="27"/>
      <c r="E29" s="27"/>
      <c r="H29" s="198" t="str">
        <f>IF((L23 )&gt;(N23),(N23)&amp;" points",(L23)&amp;" points")</f>
        <v>0 points</v>
      </c>
      <c r="I29" s="69"/>
      <c r="J29" s="201"/>
      <c r="R29" s="69"/>
      <c r="S29" s="450"/>
      <c r="T29" s="436"/>
      <c r="U29" s="436"/>
      <c r="V29" s="436"/>
      <c r="W29" s="436"/>
      <c r="Z29" s="27"/>
      <c r="AA29" s="107"/>
      <c r="AC29" s="3" t="s">
        <v>1068</v>
      </c>
      <c r="AD29" t="s">
        <v>1090</v>
      </c>
      <c r="AE29" s="9">
        <v>11</v>
      </c>
      <c r="AF29" t="s">
        <v>1856</v>
      </c>
      <c r="AS29" s="202"/>
      <c r="AT29" s="202"/>
      <c r="AU29" s="202"/>
      <c r="AV29" s="202"/>
      <c r="AW29" s="202"/>
      <c r="AX29"/>
      <c r="AY29"/>
      <c r="AZ29"/>
      <c r="BJ29">
        <v>2</v>
      </c>
    </row>
    <row r="30" spans="1:67" ht="19" x14ac:dyDescent="0.25">
      <c r="A30" s="461" t="str">
        <f>VLOOKUP(A28,$AJ$33:$AL$34,2,0)&amp;" Sets à "&amp;VLOOKUP(H28,$AJ$33:$AL$34,2,0)</f>
        <v>0 Sets à 0</v>
      </c>
      <c r="B30" s="462"/>
      <c r="C30" s="462"/>
      <c r="D30" s="462"/>
      <c r="E30" s="462"/>
      <c r="F30" s="462"/>
      <c r="G30" s="462"/>
      <c r="H30" s="462"/>
      <c r="I30" s="540"/>
      <c r="J30" s="201" t="str">
        <f>"Cap. "&amp;$F$16</f>
        <v xml:space="preserve">Cap.  </v>
      </c>
      <c r="N30" s="449"/>
      <c r="O30" s="436"/>
      <c r="P30" s="436"/>
      <c r="Q30" s="436"/>
      <c r="R30" s="500"/>
      <c r="S30" s="100"/>
      <c r="Z30" s="27"/>
      <c r="AA30" s="107"/>
      <c r="AC30" s="3" t="s">
        <v>253</v>
      </c>
      <c r="AD30" t="s">
        <v>281</v>
      </c>
      <c r="AE30" s="9">
        <v>12</v>
      </c>
      <c r="AF30" t="s">
        <v>1856</v>
      </c>
      <c r="AS30" s="202"/>
      <c r="AT30" s="202"/>
      <c r="AU30" s="202"/>
      <c r="AV30" s="202"/>
      <c r="AW30" s="202"/>
      <c r="BJ30">
        <v>3</v>
      </c>
    </row>
    <row r="31" spans="1:67" ht="20" thickBot="1" x14ac:dyDescent="0.3">
      <c r="A31" s="463" t="str">
        <f>ROUND(VLOOKUP(A28,$AJ$33:$AL$34,3,0),0)&amp;" points à "&amp;ROUND(VLOOKUP(H28,$AJ$33:$AL$34,3,0),0)</f>
        <v>0 points à 0</v>
      </c>
      <c r="B31" s="464"/>
      <c r="C31" s="464"/>
      <c r="D31" s="464"/>
      <c r="E31" s="464"/>
      <c r="F31" s="464"/>
      <c r="G31" s="464"/>
      <c r="H31" s="464"/>
      <c r="I31" s="465"/>
      <c r="J31" s="82"/>
      <c r="K31" s="5"/>
      <c r="L31" s="5"/>
      <c r="M31" s="5"/>
      <c r="N31" s="5"/>
      <c r="O31" s="5"/>
      <c r="P31" s="5"/>
      <c r="Q31" s="5"/>
      <c r="R31" s="98"/>
      <c r="S31" s="101"/>
      <c r="T31" s="5"/>
      <c r="U31" s="5"/>
      <c r="V31" s="5"/>
      <c r="W31" s="5"/>
      <c r="X31" s="5"/>
      <c r="Y31" s="5"/>
      <c r="Z31" s="44"/>
      <c r="AA31" s="108"/>
      <c r="AC31" s="3" t="s">
        <v>83</v>
      </c>
      <c r="AD31" t="s">
        <v>293</v>
      </c>
      <c r="AE31" s="9">
        <v>13</v>
      </c>
      <c r="AF31" t="s">
        <v>1643</v>
      </c>
      <c r="AS31" s="202"/>
      <c r="AT31" s="202"/>
      <c r="AU31" s="202"/>
      <c r="AV31" s="202"/>
      <c r="AW31" s="202"/>
      <c r="BJ31">
        <v>4</v>
      </c>
    </row>
    <row r="32" spans="1:67" ht="17" thickTop="1" x14ac:dyDescent="0.2">
      <c r="A32" s="27"/>
      <c r="B32" s="27"/>
      <c r="C32" s="27"/>
      <c r="D32" s="27"/>
      <c r="P32" s="27"/>
      <c r="Q32" s="27"/>
      <c r="R32" s="27"/>
      <c r="S32" s="27"/>
      <c r="T32" s="27"/>
      <c r="V32" s="27"/>
      <c r="W32" s="27"/>
      <c r="AC32" s="3" t="s">
        <v>792</v>
      </c>
      <c r="AD32" t="s">
        <v>1781</v>
      </c>
      <c r="AE32" s="9">
        <v>14</v>
      </c>
      <c r="AF32" t="s">
        <v>1643</v>
      </c>
      <c r="AU32"/>
      <c r="AV32"/>
      <c r="AW32"/>
      <c r="BJ32">
        <v>5</v>
      </c>
    </row>
    <row r="33" spans="1:62" x14ac:dyDescent="0.2">
      <c r="A33" s="45" t="s">
        <v>466</v>
      </c>
      <c r="B33" s="45"/>
      <c r="C33" s="45"/>
      <c r="D33" s="45"/>
      <c r="E33" s="45"/>
      <c r="F33" s="45"/>
      <c r="G33" s="45"/>
      <c r="S33" s="93"/>
      <c r="AB33" s="27"/>
      <c r="AC33" s="3" t="s">
        <v>1598</v>
      </c>
      <c r="AD33" t="s">
        <v>292</v>
      </c>
      <c r="AE33" s="9">
        <v>16</v>
      </c>
      <c r="AF33" t="s">
        <v>1643</v>
      </c>
      <c r="AJ33" t="str">
        <f>B6&amp;" "&amp;F6</f>
        <v xml:space="preserve"> </v>
      </c>
      <c r="AK33">
        <f>COUNTIF(AI17:AM21,1)</f>
        <v>0</v>
      </c>
      <c r="AL33">
        <f>SUMIF(AN17:AW21,"&gt;0",AN17:AW21)</f>
        <v>0</v>
      </c>
      <c r="BJ33">
        <v>6</v>
      </c>
    </row>
    <row r="34" spans="1:62" ht="21" customHeight="1" x14ac:dyDescent="0.25">
      <c r="A34" s="45" t="s">
        <v>244</v>
      </c>
      <c r="F34" s="174" t="str">
        <f>IFERROR(VLOOKUP(N6,'LISTING CLUB'!A:C,3,0),"")</f>
        <v/>
      </c>
      <c r="K34" s="9" t="s">
        <v>401</v>
      </c>
      <c r="M34" s="27"/>
      <c r="N34" s="27"/>
      <c r="O34" s="123" t="str">
        <f>"CD-J"&amp;IFERROR(VLOOKUP(R3,BK4:BK8,3,0),"")&amp;"-"&amp;G3&amp;"-"&amp;F16&amp;"-"&amp;O16</f>
        <v xml:space="preserve">CD-J-- - </v>
      </c>
      <c r="AC34" s="3"/>
      <c r="AD34" t="s">
        <v>1785</v>
      </c>
      <c r="AE34" s="9">
        <v>15</v>
      </c>
      <c r="AF34" t="s">
        <v>1643</v>
      </c>
      <c r="AJ34" t="str">
        <f>N6&amp;" "&amp;R6</f>
        <v xml:space="preserve"> </v>
      </c>
      <c r="AK34">
        <f>COUNTIF(AI17:AM21,-1)</f>
        <v>0</v>
      </c>
      <c r="AL34">
        <f>-SUMIF(AN17:AW21,"&lt;0",AN17:AW21)</f>
        <v>0</v>
      </c>
    </row>
    <row r="35" spans="1:62" ht="21" x14ac:dyDescent="0.25">
      <c r="A35" s="452" t="s">
        <v>378</v>
      </c>
      <c r="B35" s="453"/>
      <c r="C35" s="453"/>
      <c r="D35" s="453"/>
      <c r="E35" s="453"/>
      <c r="F35" s="453"/>
      <c r="G35" s="453"/>
      <c r="H35" s="453"/>
      <c r="I35" s="453"/>
      <c r="J35" s="453"/>
      <c r="K35" s="453"/>
      <c r="L35" s="453"/>
      <c r="M35" s="453"/>
      <c r="N35" s="453"/>
      <c r="O35" s="453"/>
      <c r="P35" s="453"/>
      <c r="Q35" s="453"/>
      <c r="R35" s="453"/>
      <c r="S35" s="453"/>
      <c r="T35" s="453"/>
      <c r="U35" s="453"/>
      <c r="V35" s="453"/>
      <c r="W35" s="453"/>
      <c r="X35" s="453"/>
      <c r="Y35" s="453"/>
      <c r="Z35" s="453"/>
      <c r="AA35" s="454"/>
      <c r="AB35" s="27"/>
      <c r="AC35" s="3" t="s">
        <v>1790</v>
      </c>
      <c r="AD35" t="s">
        <v>1791</v>
      </c>
      <c r="AE35" s="9">
        <v>17</v>
      </c>
      <c r="AF35" t="s">
        <v>1643</v>
      </c>
      <c r="BI35" t="s">
        <v>28</v>
      </c>
      <c r="BJ35" t="s">
        <v>385</v>
      </c>
    </row>
    <row r="36" spans="1:62" x14ac:dyDescent="0.2">
      <c r="C36" s="27"/>
      <c r="D36" s="27"/>
      <c r="E36" s="27"/>
      <c r="M36" s="27"/>
      <c r="AC36" s="3" t="s">
        <v>1783</v>
      </c>
      <c r="AD36" t="s">
        <v>1784</v>
      </c>
      <c r="AE36" s="9">
        <v>18</v>
      </c>
      <c r="AF36" t="s">
        <v>1643</v>
      </c>
      <c r="BJ36" t="s">
        <v>386</v>
      </c>
    </row>
    <row r="37" spans="1:62" x14ac:dyDescent="0.2">
      <c r="B37" s="117"/>
      <c r="C37" s="118"/>
      <c r="D37" s="118"/>
      <c r="E37" s="117"/>
      <c r="F37" s="117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C37" s="3" t="s">
        <v>852</v>
      </c>
      <c r="AD37" t="s">
        <v>288</v>
      </c>
      <c r="AE37" s="9">
        <v>19</v>
      </c>
      <c r="AF37" t="s">
        <v>1856</v>
      </c>
      <c r="BJ37" t="s">
        <v>421</v>
      </c>
    </row>
    <row r="38" spans="1:62" x14ac:dyDescent="0.2">
      <c r="B38" s="117"/>
      <c r="C38" s="118"/>
      <c r="D38" s="118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AC38" s="3" t="s">
        <v>853</v>
      </c>
      <c r="AD38" t="s">
        <v>282</v>
      </c>
      <c r="AE38" s="9">
        <v>20</v>
      </c>
      <c r="AF38" t="s">
        <v>1856</v>
      </c>
    </row>
    <row r="39" spans="1:62" x14ac:dyDescent="0.2">
      <c r="B39" s="117"/>
      <c r="C39" s="118"/>
      <c r="D39" s="118"/>
      <c r="E39" s="117"/>
      <c r="F39" s="117"/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AC39" s="3" t="s">
        <v>652</v>
      </c>
      <c r="AD39" t="s">
        <v>657</v>
      </c>
      <c r="AE39" s="9">
        <v>21</v>
      </c>
      <c r="AF39" t="s">
        <v>1643</v>
      </c>
      <c r="BE39" s="3" t="s">
        <v>154</v>
      </c>
      <c r="BF39" s="3" t="str">
        <f>C10</f>
        <v xml:space="preserve"> </v>
      </c>
      <c r="BG39" s="3"/>
      <c r="BH39" s="3"/>
      <c r="BI39" s="3" t="s">
        <v>467</v>
      </c>
    </row>
    <row r="40" spans="1:62" x14ac:dyDescent="0.2">
      <c r="B40" s="117"/>
      <c r="C40" s="118"/>
      <c r="D40" s="118"/>
      <c r="E40" s="117"/>
      <c r="F40" s="117"/>
      <c r="G40" s="117"/>
      <c r="H40" s="117"/>
      <c r="I40" s="117"/>
      <c r="J40" s="117"/>
      <c r="K40" s="117"/>
      <c r="L40" s="117"/>
      <c r="M40" s="117"/>
      <c r="N40" s="117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  <c r="Z40" s="117"/>
      <c r="AC40" s="3" t="s">
        <v>1516</v>
      </c>
      <c r="AD40" t="s">
        <v>1088</v>
      </c>
      <c r="AE40" s="9">
        <v>22</v>
      </c>
      <c r="AF40" t="s">
        <v>1643</v>
      </c>
      <c r="BE40" s="3" t="s">
        <v>154</v>
      </c>
      <c r="BF40" s="3" t="str">
        <f>C11</f>
        <v xml:space="preserve"> </v>
      </c>
      <c r="BG40" s="3"/>
      <c r="BH40" s="3"/>
      <c r="BI40" s="3" t="s">
        <v>468</v>
      </c>
    </row>
    <row r="41" spans="1:62" x14ac:dyDescent="0.2">
      <c r="B41" s="117"/>
      <c r="C41" s="119"/>
      <c r="D41" s="119"/>
      <c r="E41" s="117"/>
      <c r="F41" s="117"/>
      <c r="G41" s="117"/>
      <c r="H41" s="117"/>
      <c r="I41" s="117"/>
      <c r="J41" s="117"/>
      <c r="K41" s="117"/>
      <c r="L41" s="117"/>
      <c r="M41" s="117"/>
      <c r="N41" s="117"/>
      <c r="O41" s="117"/>
      <c r="P41" s="120"/>
      <c r="Q41" s="120"/>
      <c r="R41" s="117"/>
      <c r="S41" s="117"/>
      <c r="T41" s="117"/>
      <c r="U41" s="117"/>
      <c r="V41" s="117"/>
      <c r="W41" s="117"/>
      <c r="X41" s="117"/>
      <c r="Y41" s="117"/>
      <c r="Z41" s="117"/>
      <c r="AC41" s="3" t="s">
        <v>256</v>
      </c>
      <c r="AD41" t="s">
        <v>285</v>
      </c>
      <c r="AE41" s="9">
        <v>23</v>
      </c>
      <c r="AF41" t="s">
        <v>1643</v>
      </c>
      <c r="BE41" s="3" t="s">
        <v>155</v>
      </c>
      <c r="BF41" s="3" t="str">
        <f>+Q10</f>
        <v xml:space="preserve"> </v>
      </c>
      <c r="BG41" s="3"/>
      <c r="BH41" s="3"/>
      <c r="BI41" s="3" t="s">
        <v>469</v>
      </c>
    </row>
    <row r="42" spans="1:62" x14ac:dyDescent="0.2">
      <c r="B42" s="117"/>
      <c r="C42" s="121"/>
      <c r="D42" s="117"/>
      <c r="E42" s="117"/>
      <c r="F42" s="117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117"/>
      <c r="U42" s="117"/>
      <c r="V42" s="117"/>
      <c r="W42" s="117"/>
      <c r="X42" s="117"/>
      <c r="Y42" s="117"/>
      <c r="Z42" s="117"/>
      <c r="AC42" s="3" t="s">
        <v>254</v>
      </c>
      <c r="AD42" t="s">
        <v>344</v>
      </c>
      <c r="AE42" s="9">
        <v>24</v>
      </c>
      <c r="AF42" t="s">
        <v>1643</v>
      </c>
      <c r="BE42" s="3" t="s">
        <v>155</v>
      </c>
      <c r="BF42" s="3" t="str">
        <f>+Q11</f>
        <v xml:space="preserve"> </v>
      </c>
      <c r="BG42" s="3"/>
      <c r="BH42" s="3"/>
      <c r="BI42" s="3" t="s">
        <v>470</v>
      </c>
    </row>
    <row r="43" spans="1:62" x14ac:dyDescent="0.2">
      <c r="B43" s="117"/>
      <c r="C43" s="117"/>
      <c r="D43" s="117"/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117"/>
      <c r="Q43" s="117"/>
      <c r="R43" s="117"/>
      <c r="S43" s="117"/>
      <c r="T43" s="117"/>
      <c r="U43" s="117"/>
      <c r="V43" s="117"/>
      <c r="W43" s="117"/>
      <c r="X43" s="117"/>
      <c r="Y43" s="117"/>
      <c r="Z43" s="117"/>
      <c r="AC43" s="3" t="s">
        <v>1782</v>
      </c>
      <c r="AD43" t="s">
        <v>1097</v>
      </c>
      <c r="AE43" s="9">
        <v>25</v>
      </c>
      <c r="AF43" t="s">
        <v>1643</v>
      </c>
      <c r="BE43" s="3"/>
      <c r="BI43" t="s">
        <v>471</v>
      </c>
    </row>
    <row r="44" spans="1:62" x14ac:dyDescent="0.2">
      <c r="B44" s="117"/>
      <c r="C44" s="117"/>
      <c r="D44" s="117"/>
      <c r="E44" s="117"/>
      <c r="F44" s="117"/>
      <c r="G44" s="117"/>
      <c r="H44" s="117"/>
      <c r="I44" s="117"/>
      <c r="J44" s="117"/>
      <c r="K44" s="117"/>
      <c r="L44" s="117"/>
      <c r="M44" s="117"/>
      <c r="N44" s="117"/>
      <c r="O44" s="122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C44" s="3" t="s">
        <v>1787</v>
      </c>
      <c r="AD44" t="s">
        <v>567</v>
      </c>
      <c r="AE44" s="9">
        <v>26</v>
      </c>
      <c r="AF44" t="s">
        <v>1643</v>
      </c>
      <c r="BG44" s="3"/>
      <c r="BH44" s="3"/>
      <c r="BI44" s="3" t="s">
        <v>472</v>
      </c>
    </row>
    <row r="45" spans="1:62" x14ac:dyDescent="0.2">
      <c r="B45" s="117"/>
      <c r="C45" s="117"/>
      <c r="D45" s="117"/>
      <c r="E45" s="117"/>
      <c r="F45" s="117"/>
      <c r="G45" s="117"/>
      <c r="H45" s="117"/>
      <c r="I45" s="117"/>
      <c r="J45" s="117"/>
      <c r="K45" s="117"/>
      <c r="L45" s="117"/>
      <c r="M45" s="117"/>
      <c r="N45" s="117"/>
      <c r="O45" s="117"/>
      <c r="P45" s="117"/>
      <c r="Q45" s="117"/>
      <c r="R45" s="117"/>
      <c r="S45" s="117"/>
      <c r="T45" s="117"/>
      <c r="U45" s="117"/>
      <c r="V45" s="117"/>
      <c r="W45" s="117"/>
      <c r="X45" s="117"/>
      <c r="Y45" s="117"/>
      <c r="Z45" s="117"/>
      <c r="AC45" s="3" t="s">
        <v>1786</v>
      </c>
      <c r="AD45" t="s">
        <v>285</v>
      </c>
      <c r="AE45" s="9">
        <v>27</v>
      </c>
      <c r="AF45" t="s">
        <v>1643</v>
      </c>
      <c r="BG45" s="3"/>
      <c r="BH45" s="3"/>
      <c r="BI45" s="3" t="s">
        <v>473</v>
      </c>
    </row>
    <row r="46" spans="1:62" ht="24" x14ac:dyDescent="0.3">
      <c r="G46" s="78"/>
      <c r="H46" s="78"/>
      <c r="I46" s="78"/>
      <c r="J46" s="78"/>
      <c r="K46" s="78"/>
      <c r="L46" s="78"/>
      <c r="M46" s="78"/>
      <c r="N46" s="78"/>
      <c r="AC46" s="3" t="s">
        <v>648</v>
      </c>
      <c r="AD46" t="s">
        <v>422</v>
      </c>
      <c r="AE46" s="9">
        <v>28</v>
      </c>
      <c r="AF46" t="s">
        <v>1856</v>
      </c>
      <c r="BE46" s="3"/>
      <c r="BF46" s="3"/>
      <c r="BG46" s="3"/>
      <c r="BH46" s="3"/>
      <c r="BI46" s="3" t="s">
        <v>474</v>
      </c>
    </row>
    <row r="47" spans="1:62" ht="24" x14ac:dyDescent="0.3">
      <c r="A47" s="452" t="s">
        <v>379</v>
      </c>
      <c r="B47" s="453"/>
      <c r="C47" s="453"/>
      <c r="D47" s="453"/>
      <c r="E47" s="453"/>
      <c r="F47" s="453"/>
      <c r="G47" s="453"/>
      <c r="H47" s="453"/>
      <c r="I47" s="453"/>
      <c r="J47" s="453"/>
      <c r="K47" s="453"/>
      <c r="L47" s="453"/>
      <c r="M47" s="453"/>
      <c r="N47" s="453"/>
      <c r="O47" s="453"/>
      <c r="P47" s="453"/>
      <c r="Q47" s="453"/>
      <c r="R47" s="453"/>
      <c r="S47" s="453"/>
      <c r="T47" s="453"/>
      <c r="U47" s="453"/>
      <c r="V47" s="453"/>
      <c r="W47" s="453"/>
      <c r="X47" s="453"/>
      <c r="Y47" s="453"/>
      <c r="Z47" s="453"/>
      <c r="AA47" s="454"/>
      <c r="AC47" s="3" t="s">
        <v>1066</v>
      </c>
      <c r="AD47" t="s">
        <v>1088</v>
      </c>
      <c r="AE47" s="9">
        <v>29</v>
      </c>
      <c r="AF47" t="s">
        <v>1643</v>
      </c>
      <c r="BE47" s="3"/>
      <c r="BF47" s="3"/>
      <c r="BG47" s="3"/>
      <c r="BH47" s="3"/>
      <c r="BI47" s="3" t="s">
        <v>475</v>
      </c>
    </row>
    <row r="48" spans="1:62" x14ac:dyDescent="0.2">
      <c r="AC48" s="3" t="s">
        <v>1854</v>
      </c>
      <c r="AD48" t="s">
        <v>333</v>
      </c>
      <c r="AE48" s="9">
        <v>30</v>
      </c>
      <c r="AF48" t="s">
        <v>1643</v>
      </c>
      <c r="BE48" s="3"/>
    </row>
    <row r="49" spans="1:56" x14ac:dyDescent="0.2">
      <c r="B49" s="117"/>
      <c r="C49" s="118"/>
      <c r="D49" s="118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C49" s="3" t="s">
        <v>1788</v>
      </c>
      <c r="AD49" t="s">
        <v>1789</v>
      </c>
      <c r="AE49" s="9">
        <v>31</v>
      </c>
      <c r="AF49" t="s">
        <v>1643</v>
      </c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</row>
    <row r="50" spans="1:56" x14ac:dyDescent="0.2">
      <c r="B50" s="117"/>
      <c r="C50" s="118"/>
      <c r="D50" s="118"/>
      <c r="E50" s="117"/>
      <c r="F50" s="117"/>
      <c r="G50" s="117"/>
      <c r="H50" s="117"/>
      <c r="I50" s="117"/>
      <c r="J50" s="117"/>
      <c r="K50" s="117"/>
      <c r="L50" s="117"/>
      <c r="M50" s="117"/>
      <c r="N50" s="117"/>
      <c r="O50" s="117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</row>
    <row r="51" spans="1:56" x14ac:dyDescent="0.2">
      <c r="B51" s="117"/>
      <c r="C51" s="118"/>
      <c r="D51" s="118"/>
      <c r="E51" s="117"/>
      <c r="F51" s="117"/>
      <c r="G51" s="117"/>
      <c r="H51" s="117"/>
      <c r="I51" s="117"/>
      <c r="J51" s="117"/>
      <c r="K51" s="117"/>
      <c r="L51" s="117"/>
      <c r="M51" s="117"/>
      <c r="N51" s="117"/>
      <c r="O51" s="117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</row>
    <row r="52" spans="1:56" x14ac:dyDescent="0.2">
      <c r="B52" s="117"/>
      <c r="C52" s="118"/>
      <c r="D52" s="118"/>
      <c r="E52" s="117"/>
      <c r="F52" s="117"/>
      <c r="G52" s="117"/>
      <c r="H52" s="117"/>
      <c r="I52" s="117"/>
      <c r="J52" s="117"/>
      <c r="K52" s="117"/>
      <c r="L52" s="117"/>
      <c r="M52" s="117"/>
      <c r="N52" s="117"/>
      <c r="O52" s="117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</row>
    <row r="53" spans="1:56" x14ac:dyDescent="0.2">
      <c r="B53" s="117"/>
      <c r="C53" s="119"/>
      <c r="D53" s="119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20"/>
      <c r="Q53" s="120"/>
      <c r="R53" s="117"/>
      <c r="S53" s="117"/>
      <c r="T53" s="117"/>
      <c r="U53" s="117"/>
      <c r="V53" s="117"/>
      <c r="W53" s="117"/>
      <c r="X53" s="117"/>
      <c r="Y53" s="117"/>
      <c r="Z53" s="117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</row>
    <row r="54" spans="1:56" x14ac:dyDescent="0.2">
      <c r="B54" s="117"/>
      <c r="C54" s="121"/>
      <c r="D54" s="117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</row>
    <row r="55" spans="1:56" x14ac:dyDescent="0.2">
      <c r="B55" s="117"/>
      <c r="C55" s="117"/>
      <c r="D55" s="117"/>
      <c r="E55" s="117"/>
      <c r="F55" s="117"/>
      <c r="G55" s="117"/>
      <c r="H55" s="117"/>
      <c r="I55" s="117"/>
      <c r="J55" s="117"/>
      <c r="K55" s="117"/>
      <c r="L55" s="117"/>
      <c r="M55" s="117"/>
      <c r="N55" s="117"/>
      <c r="O55" s="117"/>
      <c r="P55" s="117"/>
      <c r="Q55" s="117"/>
      <c r="R55" s="117"/>
      <c r="S55" s="117"/>
      <c r="T55" s="117"/>
      <c r="U55" s="117"/>
      <c r="V55" s="117"/>
      <c r="W55" s="117"/>
      <c r="X55" s="117"/>
      <c r="Y55" s="117"/>
      <c r="Z55" s="117"/>
    </row>
    <row r="56" spans="1:56" x14ac:dyDescent="0.2">
      <c r="B56" s="117"/>
      <c r="C56" s="117"/>
      <c r="D56" s="117"/>
      <c r="E56" s="117"/>
      <c r="F56" s="117"/>
      <c r="G56" s="117"/>
      <c r="H56" s="117"/>
      <c r="I56" s="117"/>
      <c r="J56" s="117"/>
      <c r="K56" s="117"/>
      <c r="L56" s="117"/>
      <c r="M56" s="117"/>
      <c r="N56" s="117"/>
      <c r="O56" s="122"/>
      <c r="P56" s="117"/>
      <c r="Q56" s="117"/>
      <c r="R56" s="117"/>
      <c r="S56" s="117"/>
      <c r="T56" s="117"/>
      <c r="U56" s="117"/>
      <c r="V56" s="117"/>
      <c r="W56" s="117"/>
      <c r="X56" s="117"/>
      <c r="Y56" s="117"/>
      <c r="Z56" s="117"/>
    </row>
    <row r="57" spans="1:56" x14ac:dyDescent="0.2">
      <c r="B57" s="117"/>
      <c r="C57" s="117"/>
      <c r="D57" s="117"/>
      <c r="E57" s="117"/>
      <c r="F57" s="117"/>
      <c r="G57" s="117"/>
      <c r="H57" s="117"/>
      <c r="I57" s="117"/>
      <c r="J57" s="117"/>
      <c r="K57" s="117"/>
      <c r="L57" s="117"/>
      <c r="M57" s="117"/>
      <c r="N57" s="117"/>
      <c r="O57" s="117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</row>
    <row r="58" spans="1:56" x14ac:dyDescent="0.2">
      <c r="G58" s="1"/>
      <c r="H58" s="1"/>
      <c r="I58" s="1"/>
      <c r="J58" s="1"/>
      <c r="K58" s="1"/>
      <c r="L58" s="1"/>
      <c r="M58" s="1"/>
      <c r="N58" s="1"/>
    </row>
    <row r="59" spans="1:56" ht="24" x14ac:dyDescent="0.3">
      <c r="A59" s="86" t="s">
        <v>121</v>
      </c>
    </row>
    <row r="60" spans="1:56" x14ac:dyDescent="0.2">
      <c r="A60" s="6" t="s">
        <v>157</v>
      </c>
    </row>
    <row r="61" spans="1:56" x14ac:dyDescent="0.2">
      <c r="A61" s="6" t="s">
        <v>122</v>
      </c>
    </row>
    <row r="62" spans="1:56" x14ac:dyDescent="0.2">
      <c r="A62" s="6" t="s">
        <v>126</v>
      </c>
    </row>
    <row r="63" spans="1:56" x14ac:dyDescent="0.2">
      <c r="A63" s="6" t="s">
        <v>123</v>
      </c>
    </row>
    <row r="64" spans="1:56" x14ac:dyDescent="0.2">
      <c r="A64" s="6" t="s">
        <v>124</v>
      </c>
    </row>
    <row r="65" spans="1:1" x14ac:dyDescent="0.2">
      <c r="A65" s="6" t="s">
        <v>125</v>
      </c>
    </row>
  </sheetData>
  <sheetProtection algorithmName="SHA-512" hashValue="OhWQn6j8naIZdN1O/HssmlCKTbHhYAjV26Filg2DnWohsd4M8zzWLIeGzKo1DW7d0gCezv4Sn4riuGZHCLOCwA==" saltValue="BSBv+AeFbuV39p22mEl8qw==" spinCount="100000" sheet="1" pivotTables="0"/>
  <mergeCells count="26">
    <mergeCell ref="N30:R30"/>
    <mergeCell ref="A30:I30"/>
    <mergeCell ref="A31:I31"/>
    <mergeCell ref="Y13:Z13"/>
    <mergeCell ref="A12:A13"/>
    <mergeCell ref="O12:O13"/>
    <mergeCell ref="N28:R28"/>
    <mergeCell ref="S29:W29"/>
    <mergeCell ref="Y12:Z12"/>
    <mergeCell ref="J13:K13"/>
    <mergeCell ref="A35:AA35"/>
    <mergeCell ref="A47:AA47"/>
    <mergeCell ref="A27:AA27"/>
    <mergeCell ref="D2:E2"/>
    <mergeCell ref="C3:D3"/>
    <mergeCell ref="G3:L3"/>
    <mergeCell ref="B6:D6"/>
    <mergeCell ref="N6:P6"/>
    <mergeCell ref="J9:K9"/>
    <mergeCell ref="Y9:Z9"/>
    <mergeCell ref="J10:K10"/>
    <mergeCell ref="Y10:Z10"/>
    <mergeCell ref="J11:K11"/>
    <mergeCell ref="Y11:Z11"/>
    <mergeCell ref="R3:S3"/>
    <mergeCell ref="J12:K12"/>
  </mergeCells>
  <conditionalFormatting sqref="A17:E21">
    <cfRule type="cellIs" dxfId="66" priority="1" operator="lessThan">
      <formula>0</formula>
    </cfRule>
    <cfRule type="expression" dxfId="65" priority="2">
      <formula>OR(RIGHT($O17,4)="W.O.",RIGHT($F17,4)="W.O.")</formula>
    </cfRule>
    <cfRule type="expression" dxfId="64" priority="3">
      <formula>$A17=""</formula>
    </cfRule>
    <cfRule type="cellIs" dxfId="63" priority="4" operator="greaterThan">
      <formula>0</formula>
    </cfRule>
  </conditionalFormatting>
  <conditionalFormatting sqref="F17:F21">
    <cfRule type="expression" dxfId="62" priority="7">
      <formula>AND(ISNUMBER(L17),L17&gt;0)</formula>
    </cfRule>
  </conditionalFormatting>
  <conditionalFormatting sqref="G3 R3 B6 F6 N6 R6 B10:C13 P10:Q13 N28 S29 N30">
    <cfRule type="containsBlanks" dxfId="61" priority="11">
      <formula>LEN(TRIM(B3))=0</formula>
    </cfRule>
  </conditionalFormatting>
  <conditionalFormatting sqref="L17:L21 N17:N21">
    <cfRule type="cellIs" dxfId="60" priority="9" operator="greaterThan">
      <formula>0</formula>
    </cfRule>
  </conditionalFormatting>
  <conditionalFormatting sqref="O17:O21">
    <cfRule type="expression" dxfId="59" priority="6">
      <formula>AND(ISNUMBER(N17),N17&gt;0)</formula>
    </cfRule>
  </conditionalFormatting>
  <dataValidations count="6">
    <dataValidation type="list" allowBlank="1" showInputMessage="1" sqref="N28:R28" xr:uid="{00000000-0002-0000-0800-000000000000}">
      <formula1>$BF$41:$BF$42</formula1>
    </dataValidation>
    <dataValidation type="list" allowBlank="1" showInputMessage="1" showErrorMessage="1" sqref="G3" xr:uid="{00000000-0002-0000-0800-000001000000}">
      <formula1>$BI$39:$BI$47</formula1>
    </dataValidation>
    <dataValidation type="list" allowBlank="1" showInputMessage="1" showErrorMessage="1" sqref="R6 F6" xr:uid="{00000000-0002-0000-0800-000002000000}">
      <formula1>$BJ$28:$BJ$34</formula1>
    </dataValidation>
    <dataValidation type="list" allowBlank="1" showInputMessage="1" showErrorMessage="1" sqref="B6:D6 N6:P6" xr:uid="{00000000-0002-0000-0800-000004000000}">
      <formula1>Club</formula1>
    </dataValidation>
    <dataValidation type="list" allowBlank="1" showInputMessage="1" sqref="N30:R30" xr:uid="{00000000-0002-0000-0800-000005000000}">
      <formula1>$BF$39:$BF$40</formula1>
    </dataValidation>
    <dataValidation type="list" allowBlank="1" showInputMessage="1" sqref="S29:W29" xr:uid="{00000000-0002-0000-0800-000006000000}">
      <formula1>$BF$39:$BF$42</formula1>
    </dataValidation>
  </dataValidations>
  <printOptions horizontalCentered="1" verticalCentered="1"/>
  <pageMargins left="0.31496062992125984" right="0.31496062992125984" top="0.15748031496062992" bottom="0.35433070866141736" header="0.11811023622047245" footer="0.31496062992125984"/>
  <pageSetup paperSize="9" scale="77" fitToHeight="2" orientation="landscape" r:id="rId2"/>
  <headerFooter>
    <oddHeader>&amp;C&amp;"Calibri"&amp;10&amp;KFF8C00C2 - Confidential&amp;1#</oddHeader>
  </headerFooter>
  <rowBreaks count="1" manualBreakCount="1">
    <brk id="34" max="26" man="1"/>
  </rowBreaks>
  <drawing r:id="rId3"/>
  <legacyDrawing r:id="rId4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800-000003000000}">
          <x14:formula1>
            <xm:f>'Jour Match'!$B$35:$B$40</xm:f>
          </x14:formula1>
          <xm:sqref>R3:S3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euil12">
    <tabColor rgb="FF7030A0"/>
  </sheetPr>
  <dimension ref="A1:AI56"/>
  <sheetViews>
    <sheetView zoomScale="70" zoomScaleNormal="70" workbookViewId="0">
      <selection activeCell="A2" sqref="A2"/>
    </sheetView>
  </sheetViews>
  <sheetFormatPr baseColWidth="10" defaultRowHeight="16" x14ac:dyDescent="0.2"/>
  <cols>
    <col min="1" max="6" width="5.6640625" customWidth="1"/>
    <col min="7" max="10" width="6.6640625" customWidth="1"/>
    <col min="11" max="11" width="5.6640625" customWidth="1"/>
    <col min="12" max="12" width="1.6640625" customWidth="1"/>
    <col min="13" max="18" width="5.6640625" customWidth="1"/>
    <col min="19" max="22" width="6.6640625" customWidth="1"/>
    <col min="23" max="23" width="5.6640625" customWidth="1"/>
    <col min="24" max="24" width="1.6640625" customWidth="1"/>
    <col min="25" max="30" width="5.6640625" customWidth="1"/>
    <col min="31" max="34" width="6.6640625" customWidth="1"/>
    <col min="35" max="42" width="5.6640625" customWidth="1"/>
  </cols>
  <sheetData>
    <row r="1" spans="1:35" ht="21" customHeight="1" x14ac:dyDescent="0.25">
      <c r="A1" s="476" t="s">
        <v>1667</v>
      </c>
      <c r="B1" s="476"/>
      <c r="C1" s="476"/>
      <c r="D1" s="476"/>
      <c r="E1" s="476"/>
      <c r="F1" s="476"/>
      <c r="G1" s="476"/>
      <c r="H1" s="476"/>
      <c r="I1" s="476"/>
      <c r="J1" s="476"/>
      <c r="K1" s="476"/>
      <c r="L1" s="151"/>
      <c r="M1" s="476" t="str">
        <f>A1</f>
        <v>UFOLEP 77 – Coupes Départementales 2025 - 2026</v>
      </c>
      <c r="N1" s="476"/>
      <c r="O1" s="476"/>
      <c r="P1" s="476"/>
      <c r="Q1" s="476"/>
      <c r="R1" s="476"/>
      <c r="S1" s="476"/>
      <c r="T1" s="476"/>
      <c r="U1" s="476"/>
      <c r="V1" s="476"/>
      <c r="W1" s="476"/>
      <c r="X1" s="151"/>
      <c r="Y1" s="476" t="str">
        <f>A1</f>
        <v>UFOLEP 77 – Coupes Départementales 2025 - 2026</v>
      </c>
      <c r="Z1" s="476"/>
      <c r="AA1" s="476"/>
      <c r="AB1" s="476"/>
      <c r="AC1" s="476"/>
      <c r="AD1" s="476"/>
      <c r="AE1" s="476"/>
      <c r="AF1" s="476"/>
      <c r="AG1" s="476"/>
      <c r="AH1" s="476"/>
      <c r="AI1" s="476"/>
    </row>
    <row r="2" spans="1:35" ht="21" customHeight="1" x14ac:dyDescent="0.2">
      <c r="A2" s="129"/>
      <c r="B2" s="470">
        <f>+'Coupes départementales'!$I$4</f>
        <v>0</v>
      </c>
      <c r="C2" s="470"/>
      <c r="D2" s="470"/>
      <c r="E2" s="470"/>
      <c r="F2" s="470"/>
      <c r="G2" s="130" t="s">
        <v>28</v>
      </c>
      <c r="H2" s="133">
        <f>+'Coupes départementales'!$N$3</f>
        <v>0</v>
      </c>
      <c r="I2" s="131" t="s">
        <v>427</v>
      </c>
      <c r="J2" s="131"/>
      <c r="K2" s="132">
        <f>+'Coupes départementales'!$R$3</f>
        <v>0</v>
      </c>
      <c r="L2" s="152"/>
      <c r="M2" s="129"/>
      <c r="N2" s="470">
        <f>+'Coupes départementales'!$I$4</f>
        <v>0</v>
      </c>
      <c r="O2" s="470"/>
      <c r="P2" s="470"/>
      <c r="Q2" s="470"/>
      <c r="R2" s="470"/>
      <c r="S2" s="130" t="s">
        <v>28</v>
      </c>
      <c r="T2" s="133">
        <f>+'Coupes départementales'!$N$3</f>
        <v>0</v>
      </c>
      <c r="U2" s="131" t="s">
        <v>427</v>
      </c>
      <c r="V2" s="131"/>
      <c r="W2" s="132">
        <f>+'Coupes départementales'!$R$3</f>
        <v>0</v>
      </c>
      <c r="X2" s="152"/>
      <c r="Y2" s="129"/>
      <c r="Z2" s="131"/>
      <c r="AA2" s="131"/>
      <c r="AB2" s="131"/>
      <c r="AC2" s="470">
        <f>+'Coupes départementales'!$I$4</f>
        <v>0</v>
      </c>
      <c r="AD2" s="470"/>
      <c r="AE2" s="130" t="s">
        <v>28</v>
      </c>
      <c r="AF2" s="133">
        <f>+'Coupes départementales'!$N$3</f>
        <v>0</v>
      </c>
      <c r="AG2" s="131" t="s">
        <v>427</v>
      </c>
      <c r="AH2" s="131"/>
      <c r="AI2" s="132">
        <f>+'Coupes départementales'!$R$3</f>
        <v>0</v>
      </c>
    </row>
    <row r="3" spans="1:35" ht="21" customHeight="1" x14ac:dyDescent="0.2">
      <c r="A3" s="475" t="str">
        <f>+'Coupes départementales'!$B$6&amp;" "&amp;'Coupes départementales'!$F$6</f>
        <v xml:space="preserve"> </v>
      </c>
      <c r="B3" s="475"/>
      <c r="C3" s="475"/>
      <c r="D3" s="475"/>
      <c r="E3" s="475"/>
      <c r="F3" s="475"/>
      <c r="G3" s="153" t="s">
        <v>426</v>
      </c>
      <c r="H3" s="468" t="str">
        <f>+'Coupes départementales'!$N$6&amp;" "&amp;'Coupes départementales'!$R$6</f>
        <v xml:space="preserve"> </v>
      </c>
      <c r="I3" s="468"/>
      <c r="J3" s="468"/>
      <c r="K3" s="468"/>
      <c r="L3" s="154"/>
      <c r="M3" s="475" t="str">
        <f>+'Coupes départementales'!$B$6&amp;" "&amp;'Coupes départementales'!$F$6</f>
        <v xml:space="preserve"> </v>
      </c>
      <c r="N3" s="475"/>
      <c r="O3" s="475"/>
      <c r="P3" s="475"/>
      <c r="Q3" s="475"/>
      <c r="R3" s="475"/>
      <c r="S3" s="147" t="s">
        <v>426</v>
      </c>
      <c r="T3" s="468" t="str">
        <f>+'Coupes départementales'!$N$6&amp;" "&amp;'Coupes départementales'!$R$6</f>
        <v xml:space="preserve"> </v>
      </c>
      <c r="U3" s="468"/>
      <c r="V3" s="468"/>
      <c r="W3" s="468"/>
      <c r="X3" s="154"/>
      <c r="Y3" s="475" t="str">
        <f>+'Coupes départementales'!$B$6&amp;" "&amp;'Coupes départementales'!$F$6</f>
        <v xml:space="preserve"> </v>
      </c>
      <c r="Z3" s="475"/>
      <c r="AA3" s="475"/>
      <c r="AB3" s="475"/>
      <c r="AC3" s="475"/>
      <c r="AD3" s="475"/>
      <c r="AE3" s="153" t="s">
        <v>426</v>
      </c>
      <c r="AF3" s="468" t="str">
        <f>+'Coupes départementales'!$N$6&amp;" "&amp;'Coupes départementales'!$R$6</f>
        <v xml:space="preserve"> </v>
      </c>
      <c r="AG3" s="468"/>
      <c r="AH3" s="468"/>
      <c r="AI3" s="468"/>
    </row>
    <row r="4" spans="1:35" ht="21" customHeight="1" thickBot="1" x14ac:dyDescent="0.25">
      <c r="A4" s="134" t="s">
        <v>29</v>
      </c>
      <c r="B4" s="512" t="str">
        <f>IF(ISBLANK('Coupes départementales'!C3),'Coupes départementales'!D2,'Coupes départementales'!C3)</f>
        <v/>
      </c>
      <c r="C4" s="512" t="e">
        <f>IF(ISBLANK('Coupes départementales'!#REF!),'Coupes départementales'!#REF!,#REF!)</f>
        <v>#REF!</v>
      </c>
      <c r="D4" s="512" t="e">
        <f>IF(ISBLANK('Coupes départementales'!#REF!),'Coupes départementales'!#REF!,#REF!)</f>
        <v>#REF!</v>
      </c>
      <c r="E4" s="512" t="e">
        <f>IF(ISBLANK('Coupes départementales'!#REF!),'Coupes départementales'!#REF!,#REF!)</f>
        <v>#REF!</v>
      </c>
      <c r="F4" s="512" t="e">
        <f>IF(ISBLANK('Coupes départementales'!#REF!),'Coupes départementales'!#REF!,#REF!)</f>
        <v>#REF!</v>
      </c>
      <c r="G4" s="135"/>
      <c r="H4" s="136" t="s">
        <v>407</v>
      </c>
      <c r="I4" s="135"/>
      <c r="J4" s="135"/>
      <c r="K4" s="137"/>
      <c r="L4" s="155"/>
      <c r="M4" s="134" t="s">
        <v>29</v>
      </c>
      <c r="N4" s="512" t="str">
        <f>+B4</f>
        <v/>
      </c>
      <c r="O4" s="512"/>
      <c r="P4" s="512"/>
      <c r="Q4" s="512"/>
      <c r="R4" s="512"/>
      <c r="S4" s="135"/>
      <c r="T4" s="136" t="s">
        <v>407</v>
      </c>
      <c r="U4" s="135"/>
      <c r="V4" s="135"/>
      <c r="W4" s="137"/>
      <c r="X4" s="155"/>
      <c r="Y4" s="134" t="s">
        <v>29</v>
      </c>
      <c r="Z4" s="512" t="str">
        <f>+B4</f>
        <v/>
      </c>
      <c r="AA4" s="512"/>
      <c r="AB4" s="512"/>
      <c r="AC4" s="512">
        <v>43382</v>
      </c>
      <c r="AD4" s="512"/>
      <c r="AE4" s="135"/>
      <c r="AF4" s="136" t="s">
        <v>407</v>
      </c>
      <c r="AG4" s="135"/>
      <c r="AH4" s="135"/>
      <c r="AI4" s="137"/>
    </row>
    <row r="5" spans="1:35" ht="21" customHeight="1" thickTop="1" x14ac:dyDescent="0.2">
      <c r="A5" s="129"/>
      <c r="B5" s="138"/>
      <c r="C5" s="138"/>
      <c r="D5" s="138"/>
      <c r="E5" s="138"/>
      <c r="F5" s="131"/>
      <c r="G5" s="131" t="s">
        <v>1021</v>
      </c>
      <c r="H5" s="131"/>
      <c r="I5" s="131"/>
      <c r="J5" s="131"/>
      <c r="K5" s="139"/>
      <c r="L5" s="155"/>
      <c r="M5" s="129"/>
      <c r="N5" s="138"/>
      <c r="O5" s="138"/>
      <c r="P5" s="138"/>
      <c r="Q5" s="138"/>
      <c r="R5" s="131"/>
      <c r="S5" s="131" t="s">
        <v>1021</v>
      </c>
      <c r="T5" s="131"/>
      <c r="U5" s="131"/>
      <c r="V5" s="131"/>
      <c r="W5" s="139"/>
      <c r="X5" s="155"/>
      <c r="Y5" s="129"/>
      <c r="Z5" s="131"/>
      <c r="AA5" s="131"/>
      <c r="AB5" s="131"/>
      <c r="AC5" s="138"/>
      <c r="AD5" s="131"/>
      <c r="AE5" s="131" t="s">
        <v>1021</v>
      </c>
      <c r="AF5" s="131"/>
      <c r="AG5" s="131"/>
      <c r="AH5" s="131"/>
      <c r="AI5" s="139"/>
    </row>
    <row r="6" spans="1:35" ht="21" customHeight="1" x14ac:dyDescent="0.25">
      <c r="A6" s="156" t="s">
        <v>405</v>
      </c>
      <c r="B6" s="474" t="s">
        <v>483</v>
      </c>
      <c r="C6" s="474"/>
      <c r="D6" s="474"/>
      <c r="E6" s="474"/>
      <c r="F6" s="474"/>
      <c r="G6" s="157" t="s">
        <v>12</v>
      </c>
      <c r="H6" s="157" t="s">
        <v>13</v>
      </c>
      <c r="I6" s="157" t="s">
        <v>14</v>
      </c>
      <c r="J6" s="157" t="s">
        <v>15</v>
      </c>
      <c r="K6" s="157" t="s">
        <v>16</v>
      </c>
      <c r="L6" s="158"/>
      <c r="M6" s="156" t="s">
        <v>405</v>
      </c>
      <c r="N6" s="474" t="s">
        <v>484</v>
      </c>
      <c r="O6" s="474"/>
      <c r="P6" s="474"/>
      <c r="Q6" s="474"/>
      <c r="R6" s="474"/>
      <c r="S6" s="157" t="s">
        <v>12</v>
      </c>
      <c r="T6" s="157" t="s">
        <v>13</v>
      </c>
      <c r="U6" s="157" t="s">
        <v>14</v>
      </c>
      <c r="V6" s="157" t="s">
        <v>15</v>
      </c>
      <c r="W6" s="157" t="s">
        <v>16</v>
      </c>
      <c r="X6" s="158"/>
      <c r="Y6" s="156" t="s">
        <v>405</v>
      </c>
      <c r="Z6" s="474" t="s">
        <v>485</v>
      </c>
      <c r="AA6" s="474"/>
      <c r="AB6" s="474"/>
      <c r="AC6" s="474"/>
      <c r="AD6" s="474"/>
      <c r="AE6" s="157" t="s">
        <v>12</v>
      </c>
      <c r="AF6" s="157" t="s">
        <v>13</v>
      </c>
      <c r="AG6" s="157" t="s">
        <v>14</v>
      </c>
      <c r="AH6" s="157" t="s">
        <v>15</v>
      </c>
      <c r="AI6" s="157" t="s">
        <v>16</v>
      </c>
    </row>
    <row r="7" spans="1:35" ht="24" customHeight="1" x14ac:dyDescent="0.2">
      <c r="A7" s="159" t="str">
        <f>+'Coupes départementales'!C10</f>
        <v xml:space="preserve"> </v>
      </c>
      <c r="B7" s="131"/>
      <c r="C7" s="131"/>
      <c r="D7" s="131"/>
      <c r="E7" s="131"/>
      <c r="F7" s="131"/>
      <c r="G7" s="141"/>
      <c r="H7" s="141"/>
      <c r="I7" s="141"/>
      <c r="J7" s="141"/>
      <c r="K7" s="141"/>
      <c r="L7" s="155"/>
      <c r="M7" s="159" t="str">
        <f>+'Coupes départementales'!C11</f>
        <v xml:space="preserve"> </v>
      </c>
      <c r="N7" s="131"/>
      <c r="O7" s="131"/>
      <c r="P7" s="131"/>
      <c r="Q7" s="131"/>
      <c r="R7" s="131"/>
      <c r="S7" s="141"/>
      <c r="T7" s="141"/>
      <c r="U7" s="141"/>
      <c r="V7" s="141"/>
      <c r="W7" s="141"/>
      <c r="X7" s="155"/>
      <c r="Y7" s="159" t="str">
        <f>+'Coupes départementales'!C11</f>
        <v xml:space="preserve"> </v>
      </c>
      <c r="Z7" s="131"/>
      <c r="AA7" s="131"/>
      <c r="AB7" s="131"/>
      <c r="AC7" s="131"/>
      <c r="AD7" s="131"/>
      <c r="AE7" s="141"/>
      <c r="AF7" s="141"/>
      <c r="AG7" s="141"/>
      <c r="AH7" s="141"/>
      <c r="AI7" s="141"/>
    </row>
    <row r="8" spans="1:35" ht="24" customHeight="1" x14ac:dyDescent="0.2">
      <c r="A8" s="162" t="str">
        <f>'Coupes départementales'!I10</f>
        <v/>
      </c>
      <c r="B8" s="131"/>
      <c r="C8" s="131"/>
      <c r="D8" s="131"/>
      <c r="E8" s="131"/>
      <c r="F8" s="131"/>
      <c r="G8" s="143"/>
      <c r="H8" s="143"/>
      <c r="I8" s="143"/>
      <c r="J8" s="143"/>
      <c r="K8" s="143"/>
      <c r="L8" s="155"/>
      <c r="M8" s="163" t="str">
        <f>'Coupes départementales'!I11</f>
        <v/>
      </c>
      <c r="N8" s="131"/>
      <c r="O8" s="131"/>
      <c r="P8" s="131"/>
      <c r="Q8" s="131"/>
      <c r="R8" s="131"/>
      <c r="S8" s="143"/>
      <c r="T8" s="143"/>
      <c r="U8" s="143"/>
      <c r="V8" s="143"/>
      <c r="W8" s="143"/>
      <c r="X8" s="155"/>
      <c r="Y8" s="163" t="str">
        <f>'Coupes départementales'!I11</f>
        <v/>
      </c>
      <c r="Z8" s="131"/>
      <c r="AA8" s="131"/>
      <c r="AB8" s="131"/>
      <c r="AC8" s="131"/>
      <c r="AD8" s="131"/>
      <c r="AE8" s="143"/>
      <c r="AF8" s="143"/>
      <c r="AG8" s="143"/>
      <c r="AH8" s="143"/>
      <c r="AI8" s="143"/>
    </row>
    <row r="9" spans="1:35" ht="15.75" customHeight="1" x14ac:dyDescent="0.2">
      <c r="A9" s="142" t="s">
        <v>156</v>
      </c>
      <c r="B9" s="131"/>
      <c r="C9" s="131"/>
      <c r="D9" s="131"/>
      <c r="E9" s="131"/>
      <c r="F9" s="131"/>
      <c r="G9" s="131"/>
      <c r="H9" s="131"/>
      <c r="I9" s="131"/>
      <c r="J9" s="131"/>
      <c r="K9" s="140"/>
      <c r="L9" s="155"/>
      <c r="M9" s="142" t="s">
        <v>156</v>
      </c>
      <c r="N9" s="131"/>
      <c r="O9" s="131"/>
      <c r="P9" s="131"/>
      <c r="Q9" s="131"/>
      <c r="R9" s="131"/>
      <c r="S9" s="131"/>
      <c r="T9" s="131"/>
      <c r="U9" s="131"/>
      <c r="V9" s="131"/>
      <c r="W9" s="140"/>
      <c r="X9" s="155"/>
      <c r="Y9" s="142" t="s">
        <v>156</v>
      </c>
      <c r="Z9" s="130"/>
      <c r="AA9" s="130"/>
      <c r="AB9" s="130"/>
      <c r="AC9" s="131"/>
      <c r="AD9" s="131"/>
      <c r="AE9" s="131"/>
      <c r="AF9" s="131"/>
      <c r="AG9" s="131"/>
      <c r="AH9" s="131"/>
      <c r="AI9" s="140"/>
    </row>
    <row r="10" spans="1:35" ht="24" customHeight="1" x14ac:dyDescent="0.2">
      <c r="A10" s="159" t="str">
        <f>+'Coupes départementales'!$Q$10</f>
        <v xml:space="preserve"> </v>
      </c>
      <c r="B10" s="131"/>
      <c r="C10" s="131"/>
      <c r="D10" s="131"/>
      <c r="E10" s="131"/>
      <c r="F10" s="131"/>
      <c r="G10" s="141"/>
      <c r="H10" s="141"/>
      <c r="I10" s="141"/>
      <c r="J10" s="141"/>
      <c r="K10" s="141"/>
      <c r="L10" s="155"/>
      <c r="M10" s="159" t="str">
        <f>+'Coupes départementales'!$Q$11</f>
        <v xml:space="preserve"> </v>
      </c>
      <c r="N10" s="131"/>
      <c r="O10" s="131"/>
      <c r="P10" s="131"/>
      <c r="Q10" s="131"/>
      <c r="R10" s="131"/>
      <c r="S10" s="141"/>
      <c r="T10" s="141"/>
      <c r="U10" s="141"/>
      <c r="V10" s="141"/>
      <c r="W10" s="141"/>
      <c r="X10" s="155"/>
      <c r="Y10" s="159" t="str">
        <f>+'Coupes départementales'!$Q$10</f>
        <v xml:space="preserve"> </v>
      </c>
      <c r="Z10" s="131"/>
      <c r="AA10" s="131"/>
      <c r="AB10" s="131"/>
      <c r="AC10" s="131"/>
      <c r="AD10" s="131"/>
      <c r="AE10" s="141"/>
      <c r="AF10" s="141"/>
      <c r="AG10" s="141"/>
      <c r="AH10" s="141"/>
      <c r="AI10" s="141"/>
    </row>
    <row r="11" spans="1:35" ht="24" customHeight="1" x14ac:dyDescent="0.2">
      <c r="A11" s="163" t="str">
        <f>'Coupes départementales'!X10</f>
        <v/>
      </c>
      <c r="B11" s="131"/>
      <c r="C11" s="131"/>
      <c r="D11" s="131"/>
      <c r="E11" s="131"/>
      <c r="F11" s="131"/>
      <c r="G11" s="143"/>
      <c r="H11" s="143"/>
      <c r="I11" s="143"/>
      <c r="J11" s="143"/>
      <c r="K11" s="143"/>
      <c r="L11" s="155"/>
      <c r="M11" s="163" t="str">
        <f>'Coupes départementales'!X11</f>
        <v/>
      </c>
      <c r="N11" s="131"/>
      <c r="O11" s="131"/>
      <c r="P11" s="131"/>
      <c r="Q11" s="131"/>
      <c r="R11" s="131"/>
      <c r="S11" s="143"/>
      <c r="T11" s="143"/>
      <c r="U11" s="143"/>
      <c r="V11" s="143"/>
      <c r="W11" s="143"/>
      <c r="X11" s="155"/>
      <c r="Y11" s="163" t="str">
        <f>'Coupes départementales'!X10</f>
        <v/>
      </c>
      <c r="Z11" s="131"/>
      <c r="AA11" s="131"/>
      <c r="AB11" s="131"/>
      <c r="AC11" s="131"/>
      <c r="AD11" s="131"/>
      <c r="AE11" s="143"/>
      <c r="AF11" s="143"/>
      <c r="AG11" s="143"/>
      <c r="AH11" s="143"/>
      <c r="AI11" s="143"/>
    </row>
    <row r="12" spans="1:35" ht="21" customHeight="1" x14ac:dyDescent="0.2">
      <c r="A12" s="144" t="s">
        <v>406</v>
      </c>
      <c r="B12" s="131" t="s">
        <v>408</v>
      </c>
      <c r="C12" s="131" t="str">
        <f>'Coupes départementales'!Q11</f>
        <v xml:space="preserve"> </v>
      </c>
      <c r="D12" s="131"/>
      <c r="E12" s="131"/>
      <c r="F12" s="131"/>
      <c r="G12" s="131"/>
      <c r="H12" s="131"/>
      <c r="I12" s="131"/>
      <c r="J12" s="131"/>
      <c r="K12" s="139"/>
      <c r="L12" s="155"/>
      <c r="M12" s="144" t="s">
        <v>406</v>
      </c>
      <c r="N12" s="131" t="s">
        <v>409</v>
      </c>
      <c r="O12" s="131" t="str">
        <f>'Coupes départementales'!Q10</f>
        <v xml:space="preserve"> </v>
      </c>
      <c r="P12" s="131"/>
      <c r="Q12" s="131"/>
      <c r="R12" s="131"/>
      <c r="S12" s="131"/>
      <c r="T12" s="131"/>
      <c r="U12" s="131"/>
      <c r="V12" s="131"/>
      <c r="W12" s="139"/>
      <c r="X12" s="155"/>
      <c r="Y12" s="144" t="s">
        <v>406</v>
      </c>
      <c r="Z12" s="145" t="s">
        <v>410</v>
      </c>
      <c r="AA12" s="131" t="str">
        <f>'Coupes départementales'!C10</f>
        <v xml:space="preserve"> </v>
      </c>
      <c r="AB12" s="145"/>
      <c r="AC12" s="131"/>
      <c r="AD12" s="131"/>
      <c r="AE12" s="131"/>
      <c r="AF12" s="131"/>
      <c r="AG12" s="131"/>
      <c r="AH12" s="131"/>
      <c r="AI12" s="139"/>
    </row>
    <row r="13" spans="1:35" ht="21" customHeight="1" x14ac:dyDescent="0.2">
      <c r="A13" s="146"/>
      <c r="B13" s="147"/>
      <c r="C13" s="147"/>
      <c r="D13" s="147"/>
      <c r="E13" s="147"/>
      <c r="F13" s="147"/>
      <c r="G13" s="147"/>
      <c r="H13" s="147"/>
      <c r="I13" s="147"/>
      <c r="J13" s="147"/>
      <c r="K13" s="148"/>
      <c r="L13" s="155"/>
      <c r="M13" s="146"/>
      <c r="N13" s="147"/>
      <c r="O13" s="147"/>
      <c r="P13" s="147"/>
      <c r="Q13" s="147"/>
      <c r="R13" s="147"/>
      <c r="S13" s="147"/>
      <c r="T13" s="147"/>
      <c r="U13" s="147"/>
      <c r="V13" s="147"/>
      <c r="W13" s="148"/>
      <c r="X13" s="155"/>
      <c r="Y13" s="146"/>
      <c r="Z13" s="147"/>
      <c r="AA13" s="147"/>
      <c r="AB13" s="147"/>
      <c r="AC13" s="147"/>
      <c r="AD13" s="147"/>
      <c r="AE13" s="147"/>
      <c r="AF13" s="147"/>
      <c r="AG13" s="147"/>
      <c r="AH13" s="147"/>
      <c r="AI13" s="148"/>
    </row>
    <row r="14" spans="1:35" ht="2" customHeight="1" x14ac:dyDescent="0.2">
      <c r="A14" s="155"/>
      <c r="B14" s="155"/>
      <c r="C14" s="155"/>
      <c r="D14" s="155"/>
      <c r="E14" s="155"/>
      <c r="F14" s="155"/>
      <c r="G14" s="155"/>
      <c r="H14" s="155"/>
      <c r="I14" s="155"/>
      <c r="J14" s="155"/>
      <c r="K14" s="155"/>
      <c r="L14" s="155"/>
      <c r="M14" s="155"/>
      <c r="N14" s="155"/>
      <c r="O14" s="155"/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</row>
    <row r="15" spans="1:35" ht="21" customHeight="1" x14ac:dyDescent="0.25">
      <c r="A15" s="476" t="str">
        <f>A1</f>
        <v>UFOLEP 77 – Coupes Départementales 2025 - 2026</v>
      </c>
      <c r="B15" s="476"/>
      <c r="C15" s="476"/>
      <c r="D15" s="476"/>
      <c r="E15" s="476"/>
      <c r="F15" s="476"/>
      <c r="G15" s="476"/>
      <c r="H15" s="476"/>
      <c r="I15" s="476"/>
      <c r="J15" s="476"/>
      <c r="K15" s="476"/>
      <c r="L15" s="151"/>
      <c r="M15" s="476" t="str">
        <f>A1</f>
        <v>UFOLEP 77 – Coupes Départementales 2025 - 2026</v>
      </c>
      <c r="N15" s="476"/>
      <c r="O15" s="476"/>
      <c r="P15" s="476"/>
      <c r="Q15" s="476"/>
      <c r="R15" s="476"/>
      <c r="S15" s="476"/>
      <c r="T15" s="476"/>
      <c r="U15" s="476"/>
      <c r="V15" s="476"/>
      <c r="W15" s="476"/>
      <c r="X15" s="151"/>
      <c r="Y15" s="469" t="s">
        <v>437</v>
      </c>
      <c r="Z15" s="469"/>
      <c r="AA15" s="469"/>
      <c r="AB15" s="469"/>
      <c r="AC15" s="469"/>
      <c r="AD15" s="469"/>
      <c r="AE15" s="469"/>
      <c r="AF15" s="469"/>
      <c r="AG15" s="469"/>
      <c r="AH15" s="469"/>
      <c r="AI15" s="469"/>
    </row>
    <row r="16" spans="1:35" ht="21" customHeight="1" x14ac:dyDescent="0.2">
      <c r="A16" s="129"/>
      <c r="B16" s="470">
        <f>+'Coupes départementales'!$I$4</f>
        <v>0</v>
      </c>
      <c r="C16" s="470"/>
      <c r="D16" s="470"/>
      <c r="E16" s="470"/>
      <c r="F16" s="470"/>
      <c r="G16" s="130" t="s">
        <v>28</v>
      </c>
      <c r="H16" s="133">
        <f>+'Coupes départementales'!$N$3</f>
        <v>0</v>
      </c>
      <c r="I16" s="131" t="s">
        <v>427</v>
      </c>
      <c r="J16" s="131"/>
      <c r="K16" s="132">
        <f>+'Coupes départementales'!$R$3</f>
        <v>0</v>
      </c>
      <c r="L16" s="152"/>
      <c r="M16" s="129"/>
      <c r="N16" s="470">
        <f>+'Coupes départementales'!$I$4</f>
        <v>0</v>
      </c>
      <c r="O16" s="470"/>
      <c r="P16" s="470"/>
      <c r="Q16" s="470"/>
      <c r="R16" s="470"/>
      <c r="S16" s="130" t="s">
        <v>28</v>
      </c>
      <c r="T16" s="133">
        <f>+'Coupes départementales'!$N$3</f>
        <v>0</v>
      </c>
      <c r="U16" s="131" t="s">
        <v>427</v>
      </c>
      <c r="V16" s="131"/>
      <c r="W16" s="132">
        <f>+'Coupes départementales'!$R$3</f>
        <v>0</v>
      </c>
      <c r="X16" s="152"/>
      <c r="Y16" s="129"/>
      <c r="Z16" s="131"/>
      <c r="AA16" s="131"/>
      <c r="AB16" s="131"/>
      <c r="AC16" s="470"/>
      <c r="AD16" s="470"/>
      <c r="AE16" s="130" t="s">
        <v>28</v>
      </c>
      <c r="AF16" s="133"/>
      <c r="AG16" s="131" t="s">
        <v>427</v>
      </c>
      <c r="AH16" s="131"/>
      <c r="AI16" s="132"/>
    </row>
    <row r="17" spans="1:35" ht="21" customHeight="1" x14ac:dyDescent="0.2">
      <c r="A17" s="475" t="str">
        <f>+'Coupes départementales'!$B$6&amp;" "&amp;'Coupes départementales'!$F$6</f>
        <v xml:space="preserve"> </v>
      </c>
      <c r="B17" s="475"/>
      <c r="C17" s="475"/>
      <c r="D17" s="475"/>
      <c r="E17" s="475"/>
      <c r="F17" s="475"/>
      <c r="G17" s="153" t="s">
        <v>426</v>
      </c>
      <c r="H17" s="468" t="str">
        <f>+'Coupes départementales'!$N$6&amp;" "&amp;'Coupes départementales'!$R$6</f>
        <v xml:space="preserve"> </v>
      </c>
      <c r="I17" s="468"/>
      <c r="J17" s="468"/>
      <c r="K17" s="468"/>
      <c r="L17" s="160"/>
      <c r="M17" s="475" t="str">
        <f>+'Coupes départementales'!$B$6&amp;" "&amp;'Coupes départementales'!$F$6</f>
        <v xml:space="preserve"> </v>
      </c>
      <c r="N17" s="475"/>
      <c r="O17" s="475"/>
      <c r="P17" s="475"/>
      <c r="Q17" s="475"/>
      <c r="R17" s="475"/>
      <c r="S17" s="147" t="s">
        <v>426</v>
      </c>
      <c r="T17" s="468" t="str">
        <f>+'Coupes départementales'!$N$6&amp;" "&amp;'Coupes départementales'!$R$6</f>
        <v xml:space="preserve"> </v>
      </c>
      <c r="U17" s="468"/>
      <c r="V17" s="468"/>
      <c r="W17" s="468"/>
      <c r="X17" s="160"/>
      <c r="Y17" s="475" t="s">
        <v>437</v>
      </c>
      <c r="Z17" s="475"/>
      <c r="AA17" s="475"/>
      <c r="AB17" s="475"/>
      <c r="AC17" s="475"/>
      <c r="AD17" s="475"/>
      <c r="AE17" s="153" t="s">
        <v>426</v>
      </c>
      <c r="AF17" s="468" t="s">
        <v>437</v>
      </c>
      <c r="AG17" s="468"/>
      <c r="AH17" s="468"/>
      <c r="AI17" s="468"/>
    </row>
    <row r="18" spans="1:35" ht="21" customHeight="1" thickBot="1" x14ac:dyDescent="0.25">
      <c r="A18" s="134" t="s">
        <v>29</v>
      </c>
      <c r="B18" s="512" t="str">
        <f>+B4</f>
        <v/>
      </c>
      <c r="C18" s="512"/>
      <c r="D18" s="512"/>
      <c r="E18" s="512"/>
      <c r="F18" s="512"/>
      <c r="G18" s="135"/>
      <c r="H18" s="136" t="s">
        <v>407</v>
      </c>
      <c r="I18" s="135"/>
      <c r="J18" s="135"/>
      <c r="K18" s="137"/>
      <c r="L18" s="155"/>
      <c r="M18" s="134" t="s">
        <v>29</v>
      </c>
      <c r="N18" s="512" t="str">
        <f>+B4</f>
        <v/>
      </c>
      <c r="O18" s="512"/>
      <c r="P18" s="512"/>
      <c r="Q18" s="512"/>
      <c r="R18" s="512"/>
      <c r="S18" s="135"/>
      <c r="T18" s="136" t="s">
        <v>407</v>
      </c>
      <c r="U18" s="135"/>
      <c r="V18" s="135"/>
      <c r="W18" s="137"/>
      <c r="X18" s="155"/>
      <c r="Y18" s="134" t="s">
        <v>29</v>
      </c>
      <c r="Z18" s="472" t="s">
        <v>437</v>
      </c>
      <c r="AA18" s="472"/>
      <c r="AB18" s="472"/>
      <c r="AC18" s="472"/>
      <c r="AD18" s="472"/>
      <c r="AE18" s="135"/>
      <c r="AF18" s="136" t="s">
        <v>407</v>
      </c>
      <c r="AG18" s="135"/>
      <c r="AH18" s="135"/>
      <c r="AI18" s="137"/>
    </row>
    <row r="19" spans="1:35" ht="21" customHeight="1" thickTop="1" x14ac:dyDescent="0.2">
      <c r="A19" s="129"/>
      <c r="B19" s="138"/>
      <c r="C19" s="138"/>
      <c r="D19" s="138"/>
      <c r="E19" s="138"/>
      <c r="F19" s="131"/>
      <c r="G19" s="131" t="s">
        <v>1021</v>
      </c>
      <c r="H19" s="131"/>
      <c r="I19" s="131"/>
      <c r="J19" s="131"/>
      <c r="K19" s="139"/>
      <c r="L19" s="155"/>
      <c r="M19" s="129"/>
      <c r="N19" s="138"/>
      <c r="O19" s="138"/>
      <c r="P19" s="138"/>
      <c r="Q19" s="138"/>
      <c r="R19" s="131"/>
      <c r="S19" s="131" t="s">
        <v>1021</v>
      </c>
      <c r="T19" s="131"/>
      <c r="U19" s="131"/>
      <c r="V19" s="131"/>
      <c r="W19" s="139"/>
      <c r="X19" s="155"/>
      <c r="Y19" s="129"/>
      <c r="Z19" s="131"/>
      <c r="AA19" s="131"/>
      <c r="AB19" s="131"/>
      <c r="AC19" s="138"/>
      <c r="AD19" s="131"/>
      <c r="AE19" s="131" t="s">
        <v>1021</v>
      </c>
      <c r="AF19" s="131"/>
      <c r="AG19" s="131"/>
      <c r="AH19" s="131"/>
      <c r="AI19" s="139"/>
    </row>
    <row r="20" spans="1:35" ht="21" customHeight="1" x14ac:dyDescent="0.25">
      <c r="A20" s="156" t="s">
        <v>405</v>
      </c>
      <c r="B20" s="474" t="s">
        <v>487</v>
      </c>
      <c r="C20" s="474"/>
      <c r="D20" s="474"/>
      <c r="E20" s="474"/>
      <c r="F20" s="474"/>
      <c r="G20" s="157" t="s">
        <v>12</v>
      </c>
      <c r="H20" s="157" t="s">
        <v>13</v>
      </c>
      <c r="I20" s="157" t="s">
        <v>14</v>
      </c>
      <c r="J20" s="157" t="s">
        <v>15</v>
      </c>
      <c r="K20" s="157" t="s">
        <v>16</v>
      </c>
      <c r="L20" s="158"/>
      <c r="M20" s="156" t="s">
        <v>405</v>
      </c>
      <c r="N20" s="474" t="s">
        <v>21</v>
      </c>
      <c r="O20" s="474"/>
      <c r="P20" s="474"/>
      <c r="Q20" s="474"/>
      <c r="R20" s="474"/>
      <c r="S20" s="157" t="s">
        <v>12</v>
      </c>
      <c r="T20" s="157" t="s">
        <v>13</v>
      </c>
      <c r="U20" s="157" t="s">
        <v>14</v>
      </c>
      <c r="V20" s="157" t="s">
        <v>15</v>
      </c>
      <c r="W20" s="157" t="s">
        <v>16</v>
      </c>
      <c r="X20" s="158"/>
      <c r="Y20" s="156"/>
      <c r="Z20" s="474"/>
      <c r="AA20" s="474"/>
      <c r="AB20" s="474"/>
      <c r="AC20" s="474"/>
      <c r="AD20" s="474"/>
      <c r="AE20" s="157"/>
      <c r="AF20" s="157"/>
      <c r="AG20" s="157"/>
      <c r="AH20" s="157"/>
      <c r="AI20" s="157"/>
    </row>
    <row r="21" spans="1:35" ht="24" customHeight="1" x14ac:dyDescent="0.2">
      <c r="A21" s="159" t="str">
        <f>+A7</f>
        <v xml:space="preserve"> </v>
      </c>
      <c r="B21" s="131"/>
      <c r="C21" s="131"/>
      <c r="D21" s="131"/>
      <c r="E21" s="131"/>
      <c r="F21" s="131"/>
      <c r="G21" s="141"/>
      <c r="H21" s="141"/>
      <c r="I21" s="141"/>
      <c r="J21" s="141"/>
      <c r="K21" s="141"/>
      <c r="L21" s="155"/>
      <c r="M21" s="159" t="str">
        <f>'Coupes départementales'!C12</f>
        <v xml:space="preserve"> </v>
      </c>
      <c r="N21" s="131"/>
      <c r="O21" s="131"/>
      <c r="P21" s="131"/>
      <c r="Q21" s="131"/>
      <c r="R21" s="131"/>
      <c r="S21" s="141"/>
      <c r="T21" s="141"/>
      <c r="U21" s="141"/>
      <c r="V21" s="141"/>
      <c r="W21" s="141"/>
      <c r="X21" s="155"/>
      <c r="Y21" s="159"/>
      <c r="Z21" s="131"/>
      <c r="AA21" s="131"/>
      <c r="AB21" s="131"/>
      <c r="AC21" s="131"/>
      <c r="AD21" s="131"/>
      <c r="AE21" s="141"/>
      <c r="AF21" s="141"/>
      <c r="AG21" s="141"/>
      <c r="AH21" s="141"/>
      <c r="AI21" s="141"/>
    </row>
    <row r="22" spans="1:35" ht="24" customHeight="1" x14ac:dyDescent="0.2">
      <c r="A22" s="163" t="str">
        <f>'Coupes départementales'!I10</f>
        <v/>
      </c>
      <c r="B22" s="131"/>
      <c r="C22" s="131"/>
      <c r="D22" s="131"/>
      <c r="E22" s="131"/>
      <c r="F22" s="131"/>
      <c r="G22" s="143"/>
      <c r="H22" s="143"/>
      <c r="I22" s="143"/>
      <c r="J22" s="143"/>
      <c r="K22" s="143"/>
      <c r="L22" s="155"/>
      <c r="M22" s="159" t="str">
        <f>'Coupes départementales'!C13</f>
        <v xml:space="preserve"> </v>
      </c>
      <c r="N22" s="131"/>
      <c r="O22" s="131"/>
      <c r="P22" s="131"/>
      <c r="Q22" s="131"/>
      <c r="R22" s="131"/>
      <c r="S22" s="143"/>
      <c r="T22" s="143"/>
      <c r="U22" s="143"/>
      <c r="V22" s="143"/>
      <c r="W22" s="143"/>
      <c r="X22" s="155"/>
      <c r="Y22" s="163"/>
      <c r="Z22" s="131"/>
      <c r="AA22" s="131"/>
      <c r="AB22" s="131"/>
      <c r="AC22" s="131"/>
      <c r="AD22" s="131"/>
      <c r="AE22" s="143"/>
      <c r="AF22" s="143"/>
      <c r="AG22" s="143"/>
      <c r="AH22" s="143"/>
      <c r="AI22" s="143"/>
    </row>
    <row r="23" spans="1:35" ht="15.75" customHeight="1" x14ac:dyDescent="0.2">
      <c r="A23" s="142" t="s">
        <v>156</v>
      </c>
      <c r="B23" s="131"/>
      <c r="C23" s="131"/>
      <c r="D23" s="131"/>
      <c r="E23" s="131"/>
      <c r="F23" s="131"/>
      <c r="G23" s="131"/>
      <c r="H23" s="131"/>
      <c r="I23" s="131"/>
      <c r="J23" s="131"/>
      <c r="K23" s="140"/>
      <c r="L23" s="155"/>
      <c r="M23" s="142" t="s">
        <v>156</v>
      </c>
      <c r="N23" s="131"/>
      <c r="O23" s="131"/>
      <c r="P23" s="131"/>
      <c r="Q23" s="131"/>
      <c r="R23" s="131"/>
      <c r="S23" s="131"/>
      <c r="T23" s="131"/>
      <c r="U23" s="131"/>
      <c r="V23" s="131"/>
      <c r="W23" s="140"/>
      <c r="X23" s="155"/>
      <c r="Y23" s="142"/>
      <c r="Z23" s="130"/>
      <c r="AA23" s="130"/>
      <c r="AB23" s="130"/>
      <c r="AC23" s="131"/>
      <c r="AD23" s="131"/>
      <c r="AE23" s="131"/>
      <c r="AF23" s="131"/>
      <c r="AG23" s="131"/>
      <c r="AH23" s="131"/>
      <c r="AI23" s="140"/>
    </row>
    <row r="24" spans="1:35" ht="24" customHeight="1" x14ac:dyDescent="0.2">
      <c r="A24" s="159" t="str">
        <f>+M10</f>
        <v xml:space="preserve"> </v>
      </c>
      <c r="B24" s="131"/>
      <c r="C24" s="131"/>
      <c r="D24" s="131"/>
      <c r="E24" s="131"/>
      <c r="F24" s="131"/>
      <c r="G24" s="141"/>
      <c r="H24" s="141"/>
      <c r="I24" s="141"/>
      <c r="J24" s="141"/>
      <c r="K24" s="141"/>
      <c r="L24" s="155"/>
      <c r="M24" s="159" t="str">
        <f>'Coupes départementales'!Q12</f>
        <v xml:space="preserve"> </v>
      </c>
      <c r="N24" s="131"/>
      <c r="O24" s="131"/>
      <c r="P24" s="131"/>
      <c r="Q24" s="131"/>
      <c r="R24" s="131"/>
      <c r="S24" s="141"/>
      <c r="T24" s="141"/>
      <c r="U24" s="141"/>
      <c r="V24" s="141"/>
      <c r="W24" s="141"/>
      <c r="X24" s="155"/>
      <c r="Y24" s="159"/>
      <c r="Z24" s="131"/>
      <c r="AA24" s="131"/>
      <c r="AB24" s="131"/>
      <c r="AC24" s="131"/>
      <c r="AD24" s="131"/>
      <c r="AE24" s="141"/>
      <c r="AF24" s="141"/>
      <c r="AG24" s="141"/>
      <c r="AH24" s="141"/>
      <c r="AI24" s="141"/>
    </row>
    <row r="25" spans="1:35" ht="24" customHeight="1" x14ac:dyDescent="0.2">
      <c r="A25" s="163" t="str">
        <f>'Coupes départementales'!X11</f>
        <v/>
      </c>
      <c r="B25" s="131"/>
      <c r="C25" s="131"/>
      <c r="D25" s="131"/>
      <c r="E25" s="131"/>
      <c r="F25" s="131"/>
      <c r="G25" s="143"/>
      <c r="H25" s="143"/>
      <c r="I25" s="143"/>
      <c r="J25" s="143"/>
      <c r="K25" s="143"/>
      <c r="L25" s="155"/>
      <c r="M25" s="159" t="str">
        <f>'Coupes départementales'!Q13</f>
        <v xml:space="preserve"> </v>
      </c>
      <c r="N25" s="131"/>
      <c r="O25" s="131"/>
      <c r="P25" s="131"/>
      <c r="Q25" s="131"/>
      <c r="R25" s="131"/>
      <c r="S25" s="143"/>
      <c r="T25" s="143"/>
      <c r="U25" s="143"/>
      <c r="V25" s="143"/>
      <c r="W25" s="143"/>
      <c r="X25" s="155"/>
      <c r="Y25" s="163"/>
      <c r="Z25" s="131"/>
      <c r="AA25" s="131"/>
      <c r="AB25" s="131"/>
      <c r="AC25" s="131"/>
      <c r="AD25" s="131"/>
      <c r="AE25" s="143"/>
      <c r="AF25" s="143"/>
      <c r="AG25" s="143"/>
      <c r="AH25" s="143"/>
      <c r="AI25" s="143"/>
    </row>
    <row r="26" spans="1:35" ht="21" customHeight="1" x14ac:dyDescent="0.2">
      <c r="A26" s="144" t="s">
        <v>406</v>
      </c>
      <c r="B26" s="131" t="s">
        <v>411</v>
      </c>
      <c r="C26" s="131" t="str">
        <f>'Coupes départementales'!C11</f>
        <v xml:space="preserve"> </v>
      </c>
      <c r="D26" s="131"/>
      <c r="E26" s="131"/>
      <c r="F26" s="131"/>
      <c r="G26" s="131"/>
      <c r="H26" s="131"/>
      <c r="I26" s="131"/>
      <c r="J26" s="131"/>
      <c r="K26" s="139"/>
      <c r="L26" s="155"/>
      <c r="M26" s="144" t="s">
        <v>406</v>
      </c>
      <c r="N26" s="131"/>
      <c r="O26" s="131"/>
      <c r="P26" s="131"/>
      <c r="Q26" s="131"/>
      <c r="R26" s="131"/>
      <c r="S26" s="131"/>
      <c r="T26" s="131"/>
      <c r="U26" s="131"/>
      <c r="V26" s="131"/>
      <c r="W26" s="139"/>
      <c r="X26" s="155"/>
      <c r="Y26" s="144"/>
      <c r="Z26" s="130"/>
      <c r="AA26" s="145"/>
      <c r="AB26" s="145"/>
      <c r="AC26" s="131"/>
      <c r="AD26" s="131"/>
      <c r="AE26" s="131"/>
      <c r="AF26" s="131"/>
      <c r="AG26" s="131"/>
      <c r="AH26" s="131"/>
      <c r="AI26" s="139"/>
    </row>
    <row r="27" spans="1:35" ht="21" customHeight="1" x14ac:dyDescent="0.2">
      <c r="A27" s="146"/>
      <c r="B27" s="147"/>
      <c r="C27" s="147"/>
      <c r="D27" s="147"/>
      <c r="E27" s="147"/>
      <c r="F27" s="147"/>
      <c r="G27" s="147"/>
      <c r="H27" s="147"/>
      <c r="I27" s="147"/>
      <c r="J27" s="147"/>
      <c r="K27" s="148"/>
      <c r="L27" s="155"/>
      <c r="M27" s="146"/>
      <c r="N27" s="147"/>
      <c r="O27" s="147"/>
      <c r="P27" s="147"/>
      <c r="Q27" s="147"/>
      <c r="R27" s="147"/>
      <c r="S27" s="147"/>
      <c r="T27" s="147"/>
      <c r="U27" s="147"/>
      <c r="V27" s="147"/>
      <c r="W27" s="148"/>
      <c r="X27" s="155"/>
      <c r="Y27" s="146"/>
      <c r="Z27" s="147"/>
      <c r="AA27" s="147"/>
      <c r="AB27" s="147"/>
      <c r="AC27" s="147"/>
      <c r="AD27" s="147"/>
      <c r="AE27" s="147"/>
      <c r="AF27" s="147"/>
      <c r="AG27" s="147"/>
      <c r="AH27" s="147"/>
      <c r="AI27" s="148"/>
    </row>
    <row r="28" spans="1:35" ht="2" customHeight="1" x14ac:dyDescent="0.2">
      <c r="A28" s="155"/>
      <c r="B28" s="155"/>
      <c r="C28" s="155"/>
      <c r="D28" s="155"/>
      <c r="E28" s="155"/>
      <c r="F28" s="155"/>
      <c r="G28" s="155"/>
      <c r="H28" s="155"/>
      <c r="I28" s="155"/>
      <c r="J28" s="155"/>
      <c r="K28" s="155"/>
      <c r="L28" s="155"/>
      <c r="M28" s="155"/>
      <c r="N28" s="155"/>
      <c r="O28" s="155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5"/>
      <c r="AG28" s="155"/>
      <c r="AH28" s="155"/>
      <c r="AI28" s="155"/>
    </row>
    <row r="29" spans="1:35" ht="2" customHeight="1" x14ac:dyDescent="0.2">
      <c r="A29" s="155"/>
      <c r="B29" s="155"/>
      <c r="C29" s="155"/>
      <c r="D29" s="155"/>
      <c r="E29" s="155"/>
      <c r="F29" s="155"/>
      <c r="G29" s="155"/>
      <c r="H29" s="155"/>
      <c r="I29" s="155"/>
      <c r="J29" s="155"/>
      <c r="K29" s="155"/>
      <c r="L29" s="155"/>
      <c r="M29" s="155"/>
      <c r="N29" s="155"/>
      <c r="O29" s="155"/>
      <c r="P29" s="155"/>
      <c r="Q29" s="155"/>
      <c r="R29" s="155"/>
      <c r="S29" s="155"/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155"/>
      <c r="AG29" s="155"/>
      <c r="AH29" s="155"/>
      <c r="AI29" s="155"/>
    </row>
    <row r="30" spans="1:35" ht="21" customHeight="1" x14ac:dyDescent="0.2">
      <c r="A30" s="469" t="s">
        <v>437</v>
      </c>
      <c r="B30" s="469"/>
      <c r="C30" s="469"/>
      <c r="D30" s="469"/>
      <c r="E30" s="469"/>
      <c r="F30" s="469"/>
      <c r="G30" s="469"/>
      <c r="H30" s="469"/>
      <c r="I30" s="469"/>
      <c r="J30" s="469"/>
      <c r="K30" s="469"/>
      <c r="L30" s="151"/>
      <c r="M30" s="469" t="s">
        <v>437</v>
      </c>
      <c r="N30" s="469"/>
      <c r="O30" s="469"/>
      <c r="P30" s="469"/>
      <c r="Q30" s="469"/>
      <c r="R30" s="469"/>
      <c r="S30" s="469"/>
      <c r="T30" s="469"/>
      <c r="U30" s="469"/>
      <c r="V30" s="469"/>
      <c r="W30" s="469"/>
      <c r="X30" s="151"/>
      <c r="Y30" s="469" t="s">
        <v>437</v>
      </c>
      <c r="Z30" s="469"/>
      <c r="AA30" s="469"/>
      <c r="AB30" s="469"/>
      <c r="AC30" s="469"/>
      <c r="AD30" s="469"/>
      <c r="AE30" s="469"/>
      <c r="AF30" s="469"/>
      <c r="AG30" s="469"/>
      <c r="AH30" s="469"/>
      <c r="AI30" s="469"/>
    </row>
    <row r="31" spans="1:35" ht="21" customHeight="1" x14ac:dyDescent="0.2">
      <c r="A31" s="129"/>
      <c r="B31" s="470" t="s">
        <v>437</v>
      </c>
      <c r="C31" s="470"/>
      <c r="D31" s="470"/>
      <c r="E31" s="470"/>
      <c r="F31" s="470"/>
      <c r="G31" s="130" t="s">
        <v>28</v>
      </c>
      <c r="H31" s="133" t="s">
        <v>437</v>
      </c>
      <c r="I31" s="131" t="s">
        <v>427</v>
      </c>
      <c r="J31" s="131"/>
      <c r="K31" s="132" t="s">
        <v>437</v>
      </c>
      <c r="L31" s="152"/>
      <c r="M31" s="129"/>
      <c r="N31" s="470" t="s">
        <v>437</v>
      </c>
      <c r="O31" s="470"/>
      <c r="P31" s="470"/>
      <c r="Q31" s="470"/>
      <c r="R31" s="470"/>
      <c r="S31" s="130" t="s">
        <v>28</v>
      </c>
      <c r="T31" s="133" t="s">
        <v>437</v>
      </c>
      <c r="U31" s="131" t="s">
        <v>427</v>
      </c>
      <c r="V31" s="131"/>
      <c r="W31" s="132" t="s">
        <v>437</v>
      </c>
      <c r="X31" s="152"/>
      <c r="Y31" s="129"/>
      <c r="Z31" s="131"/>
      <c r="AA31" s="131"/>
      <c r="AB31" s="131"/>
      <c r="AC31" s="470"/>
      <c r="AD31" s="470"/>
      <c r="AE31" s="130" t="s">
        <v>28</v>
      </c>
      <c r="AF31" s="133"/>
      <c r="AG31" s="131" t="s">
        <v>427</v>
      </c>
      <c r="AH31" s="131"/>
      <c r="AI31" s="132"/>
    </row>
    <row r="32" spans="1:35" ht="21" customHeight="1" x14ac:dyDescent="0.2">
      <c r="A32" s="475" t="s">
        <v>437</v>
      </c>
      <c r="B32" s="475"/>
      <c r="C32" s="475"/>
      <c r="D32" s="475"/>
      <c r="E32" s="475"/>
      <c r="F32" s="475"/>
      <c r="G32" s="147" t="s">
        <v>426</v>
      </c>
      <c r="H32" s="468" t="s">
        <v>437</v>
      </c>
      <c r="I32" s="468"/>
      <c r="J32" s="468"/>
      <c r="K32" s="468"/>
      <c r="L32" s="160"/>
      <c r="M32" s="475" t="s">
        <v>437</v>
      </c>
      <c r="N32" s="475"/>
      <c r="O32" s="475"/>
      <c r="P32" s="475"/>
      <c r="Q32" s="475"/>
      <c r="R32" s="475"/>
      <c r="S32" s="147" t="s">
        <v>426</v>
      </c>
      <c r="T32" s="468" t="s">
        <v>437</v>
      </c>
      <c r="U32" s="468"/>
      <c r="V32" s="468"/>
      <c r="W32" s="468"/>
      <c r="X32" s="160"/>
      <c r="Y32" s="475" t="s">
        <v>437</v>
      </c>
      <c r="Z32" s="475"/>
      <c r="AA32" s="475"/>
      <c r="AB32" s="475"/>
      <c r="AC32" s="475"/>
      <c r="AD32" s="475"/>
      <c r="AE32" s="153" t="s">
        <v>426</v>
      </c>
      <c r="AF32" s="468" t="s">
        <v>437</v>
      </c>
      <c r="AG32" s="468"/>
      <c r="AH32" s="468"/>
      <c r="AI32" s="468"/>
    </row>
    <row r="33" spans="1:35" ht="21" customHeight="1" thickBot="1" x14ac:dyDescent="0.25">
      <c r="A33" s="134" t="s">
        <v>29</v>
      </c>
      <c r="B33" s="472" t="s">
        <v>437</v>
      </c>
      <c r="C33" s="472"/>
      <c r="D33" s="472"/>
      <c r="E33" s="472"/>
      <c r="F33" s="472"/>
      <c r="G33" s="135"/>
      <c r="H33" s="136" t="s">
        <v>407</v>
      </c>
      <c r="I33" s="135"/>
      <c r="J33" s="135"/>
      <c r="K33" s="137"/>
      <c r="L33" s="155"/>
      <c r="M33" s="134" t="s">
        <v>29</v>
      </c>
      <c r="N33" s="472" t="s">
        <v>437</v>
      </c>
      <c r="O33" s="472"/>
      <c r="P33" s="472"/>
      <c r="Q33" s="472"/>
      <c r="R33" s="472"/>
      <c r="S33" s="135"/>
      <c r="T33" s="136" t="s">
        <v>407</v>
      </c>
      <c r="U33" s="135"/>
      <c r="V33" s="135"/>
      <c r="W33" s="137"/>
      <c r="X33" s="155"/>
      <c r="Y33" s="134" t="s">
        <v>29</v>
      </c>
      <c r="Z33" s="472" t="s">
        <v>437</v>
      </c>
      <c r="AA33" s="472"/>
      <c r="AB33" s="472"/>
      <c r="AC33" s="472"/>
      <c r="AD33" s="472"/>
      <c r="AE33" s="135"/>
      <c r="AF33" s="136" t="s">
        <v>407</v>
      </c>
      <c r="AG33" s="135"/>
      <c r="AH33" s="135"/>
      <c r="AI33" s="137"/>
    </row>
    <row r="34" spans="1:35" ht="21" customHeight="1" thickTop="1" x14ac:dyDescent="0.2">
      <c r="A34" s="129"/>
      <c r="B34" s="138"/>
      <c r="C34" s="138"/>
      <c r="D34" s="138"/>
      <c r="E34" s="138"/>
      <c r="F34" s="131"/>
      <c r="G34" s="131" t="s">
        <v>1021</v>
      </c>
      <c r="H34" s="131"/>
      <c r="I34" s="131"/>
      <c r="J34" s="131"/>
      <c r="K34" s="139"/>
      <c r="L34" s="155"/>
      <c r="M34" s="129"/>
      <c r="N34" s="138"/>
      <c r="O34" s="138"/>
      <c r="P34" s="138"/>
      <c r="Q34" s="138"/>
      <c r="R34" s="131"/>
      <c r="S34" s="131" t="s">
        <v>1021</v>
      </c>
      <c r="T34" s="131"/>
      <c r="U34" s="131"/>
      <c r="V34" s="131"/>
      <c r="W34" s="139"/>
      <c r="X34" s="155"/>
      <c r="Y34" s="129"/>
      <c r="Z34" s="131"/>
      <c r="AA34" s="131"/>
      <c r="AB34" s="131"/>
      <c r="AC34" s="138"/>
      <c r="AD34" s="131"/>
      <c r="AE34" s="131" t="s">
        <v>1021</v>
      </c>
      <c r="AF34" s="131"/>
      <c r="AG34" s="131"/>
      <c r="AH34" s="131"/>
      <c r="AI34" s="139"/>
    </row>
    <row r="35" spans="1:35" ht="21" customHeight="1" x14ac:dyDescent="0.25">
      <c r="A35" s="156" t="s">
        <v>405</v>
      </c>
      <c r="B35" s="474"/>
      <c r="C35" s="474"/>
      <c r="D35" s="474"/>
      <c r="E35" s="474"/>
      <c r="F35" s="474"/>
      <c r="G35" s="157" t="s">
        <v>12</v>
      </c>
      <c r="H35" s="157" t="s">
        <v>13</v>
      </c>
      <c r="I35" s="157" t="s">
        <v>14</v>
      </c>
      <c r="J35" s="157" t="s">
        <v>15</v>
      </c>
      <c r="K35" s="157" t="s">
        <v>16</v>
      </c>
      <c r="L35" s="158"/>
      <c r="M35" s="156" t="s">
        <v>405</v>
      </c>
      <c r="N35" s="474"/>
      <c r="O35" s="474"/>
      <c r="P35" s="474"/>
      <c r="Q35" s="474"/>
      <c r="R35" s="474"/>
      <c r="S35" s="157" t="s">
        <v>12</v>
      </c>
      <c r="T35" s="157" t="s">
        <v>13</v>
      </c>
      <c r="U35" s="157" t="s">
        <v>14</v>
      </c>
      <c r="V35" s="157" t="s">
        <v>15</v>
      </c>
      <c r="W35" s="157" t="s">
        <v>16</v>
      </c>
      <c r="X35" s="158"/>
      <c r="Y35" s="156" t="s">
        <v>405</v>
      </c>
      <c r="Z35" s="474"/>
      <c r="AA35" s="474"/>
      <c r="AB35" s="474"/>
      <c r="AC35" s="474"/>
      <c r="AD35" s="474"/>
      <c r="AE35" s="157" t="s">
        <v>12</v>
      </c>
      <c r="AF35" s="157" t="s">
        <v>13</v>
      </c>
      <c r="AG35" s="157" t="s">
        <v>14</v>
      </c>
      <c r="AH35" s="157" t="s">
        <v>15</v>
      </c>
      <c r="AI35" s="157" t="s">
        <v>16</v>
      </c>
    </row>
    <row r="36" spans="1:35" ht="24" customHeight="1" x14ac:dyDescent="0.2">
      <c r="A36" s="129"/>
      <c r="B36" s="131"/>
      <c r="C36" s="131"/>
      <c r="D36" s="131"/>
      <c r="E36" s="131"/>
      <c r="F36" s="131"/>
      <c r="G36" s="141"/>
      <c r="H36" s="141"/>
      <c r="I36" s="141"/>
      <c r="J36" s="141"/>
      <c r="K36" s="141"/>
      <c r="L36" s="155"/>
      <c r="M36" s="129"/>
      <c r="N36" s="131"/>
      <c r="O36" s="131"/>
      <c r="P36" s="131"/>
      <c r="Q36" s="131"/>
      <c r="R36" s="131"/>
      <c r="S36" s="141"/>
      <c r="T36" s="141"/>
      <c r="U36" s="141"/>
      <c r="V36" s="141"/>
      <c r="W36" s="141"/>
      <c r="X36" s="155"/>
      <c r="Y36" s="129"/>
      <c r="Z36" s="131"/>
      <c r="AA36" s="131"/>
      <c r="AB36" s="131"/>
      <c r="AC36" s="131"/>
      <c r="AD36" s="131"/>
      <c r="AE36" s="141"/>
      <c r="AF36" s="141"/>
      <c r="AG36" s="141"/>
      <c r="AH36" s="141"/>
      <c r="AI36" s="141"/>
    </row>
    <row r="37" spans="1:35" ht="24" customHeight="1" x14ac:dyDescent="0.2">
      <c r="A37" s="161"/>
      <c r="B37" s="131"/>
      <c r="C37" s="131"/>
      <c r="D37" s="131"/>
      <c r="E37" s="131"/>
      <c r="F37" s="131"/>
      <c r="G37" s="143"/>
      <c r="H37" s="143"/>
      <c r="I37" s="143"/>
      <c r="J37" s="143"/>
      <c r="K37" s="143"/>
      <c r="L37" s="155"/>
      <c r="M37" s="161"/>
      <c r="N37" s="131"/>
      <c r="O37" s="131"/>
      <c r="P37" s="131"/>
      <c r="Q37" s="131"/>
      <c r="R37" s="131"/>
      <c r="S37" s="143"/>
      <c r="T37" s="143"/>
      <c r="U37" s="143"/>
      <c r="V37" s="143"/>
      <c r="W37" s="143"/>
      <c r="X37" s="155"/>
      <c r="Y37" s="161"/>
      <c r="Z37" s="131"/>
      <c r="AA37" s="131"/>
      <c r="AB37" s="131"/>
      <c r="AC37" s="131"/>
      <c r="AD37" s="131"/>
      <c r="AE37" s="143"/>
      <c r="AF37" s="143"/>
      <c r="AG37" s="143"/>
      <c r="AH37" s="143"/>
      <c r="AI37" s="143"/>
    </row>
    <row r="38" spans="1:35" x14ac:dyDescent="0.2">
      <c r="A38" s="142" t="s">
        <v>156</v>
      </c>
      <c r="B38" s="131"/>
      <c r="C38" s="131"/>
      <c r="D38" s="131"/>
      <c r="E38" s="131"/>
      <c r="F38" s="131"/>
      <c r="G38" s="131"/>
      <c r="H38" s="131"/>
      <c r="I38" s="131"/>
      <c r="J38" s="131"/>
      <c r="K38" s="140"/>
      <c r="L38" s="155"/>
      <c r="M38" s="142" t="s">
        <v>156</v>
      </c>
      <c r="N38" s="131"/>
      <c r="O38" s="131"/>
      <c r="P38" s="131"/>
      <c r="Q38" s="131"/>
      <c r="R38" s="131"/>
      <c r="S38" s="131"/>
      <c r="T38" s="131"/>
      <c r="U38" s="131"/>
      <c r="V38" s="131"/>
      <c r="W38" s="140"/>
      <c r="X38" s="155"/>
      <c r="Y38" s="142" t="s">
        <v>156</v>
      </c>
      <c r="Z38" s="130"/>
      <c r="AA38" s="130"/>
      <c r="AB38" s="130"/>
      <c r="AC38" s="131"/>
      <c r="AD38" s="131"/>
      <c r="AE38" s="131"/>
      <c r="AF38" s="131"/>
      <c r="AG38" s="131"/>
      <c r="AH38" s="131"/>
      <c r="AI38" s="140"/>
    </row>
    <row r="39" spans="1:35" ht="24" customHeight="1" x14ac:dyDescent="0.2">
      <c r="A39" s="129"/>
      <c r="B39" s="131"/>
      <c r="C39" s="131"/>
      <c r="D39" s="131"/>
      <c r="E39" s="131"/>
      <c r="F39" s="131"/>
      <c r="G39" s="141"/>
      <c r="H39" s="141"/>
      <c r="I39" s="141"/>
      <c r="J39" s="141"/>
      <c r="K39" s="141"/>
      <c r="L39" s="155"/>
      <c r="M39" s="129"/>
      <c r="N39" s="131"/>
      <c r="O39" s="131"/>
      <c r="P39" s="131"/>
      <c r="Q39" s="131"/>
      <c r="R39" s="131"/>
      <c r="S39" s="141"/>
      <c r="T39" s="141"/>
      <c r="U39" s="141"/>
      <c r="V39" s="141"/>
      <c r="W39" s="141"/>
      <c r="X39" s="155"/>
      <c r="Y39" s="129"/>
      <c r="Z39" s="131"/>
      <c r="AA39" s="131"/>
      <c r="AB39" s="131"/>
      <c r="AC39" s="131"/>
      <c r="AD39" s="131"/>
      <c r="AE39" s="141"/>
      <c r="AF39" s="141"/>
      <c r="AG39" s="141"/>
      <c r="AH39" s="141"/>
      <c r="AI39" s="141"/>
    </row>
    <row r="40" spans="1:35" ht="24" customHeight="1" x14ac:dyDescent="0.2">
      <c r="A40" s="129"/>
      <c r="B40" s="131"/>
      <c r="C40" s="131"/>
      <c r="D40" s="131"/>
      <c r="E40" s="131"/>
      <c r="F40" s="131"/>
      <c r="G40" s="143"/>
      <c r="H40" s="143"/>
      <c r="I40" s="143"/>
      <c r="J40" s="143"/>
      <c r="K40" s="143"/>
      <c r="L40" s="155"/>
      <c r="M40" s="129"/>
      <c r="N40" s="131"/>
      <c r="O40" s="131"/>
      <c r="P40" s="131"/>
      <c r="Q40" s="131"/>
      <c r="R40" s="131"/>
      <c r="S40" s="143"/>
      <c r="T40" s="143"/>
      <c r="U40" s="143"/>
      <c r="V40" s="143"/>
      <c r="W40" s="143"/>
      <c r="X40" s="155"/>
      <c r="Y40" s="129"/>
      <c r="Z40" s="131"/>
      <c r="AA40" s="131"/>
      <c r="AB40" s="131"/>
      <c r="AC40" s="131"/>
      <c r="AD40" s="131"/>
      <c r="AE40" s="143"/>
      <c r="AF40" s="143"/>
      <c r="AG40" s="143"/>
      <c r="AH40" s="143"/>
      <c r="AI40" s="143"/>
    </row>
    <row r="41" spans="1:35" ht="21" customHeight="1" x14ac:dyDescent="0.2">
      <c r="A41" s="144" t="s">
        <v>406</v>
      </c>
      <c r="B41" s="131"/>
      <c r="C41" s="131"/>
      <c r="D41" s="131"/>
      <c r="E41" s="131"/>
      <c r="F41" s="131"/>
      <c r="G41" s="131"/>
      <c r="H41" s="131"/>
      <c r="I41" s="131"/>
      <c r="J41" s="131"/>
      <c r="K41" s="139"/>
      <c r="L41" s="155"/>
      <c r="M41" s="144" t="s">
        <v>406</v>
      </c>
      <c r="N41" s="131"/>
      <c r="O41" s="131"/>
      <c r="P41" s="131"/>
      <c r="Q41" s="131"/>
      <c r="R41" s="131"/>
      <c r="S41" s="131"/>
      <c r="T41" s="131"/>
      <c r="U41" s="131"/>
      <c r="V41" s="131"/>
      <c r="W41" s="139"/>
      <c r="X41" s="155"/>
      <c r="Y41" s="144" t="s">
        <v>406</v>
      </c>
      <c r="Z41" s="145"/>
      <c r="AA41" s="145"/>
      <c r="AB41" s="145"/>
      <c r="AC41" s="131"/>
      <c r="AD41" s="131"/>
      <c r="AE41" s="131"/>
      <c r="AF41" s="131"/>
      <c r="AG41" s="131"/>
      <c r="AH41" s="131"/>
      <c r="AI41" s="139"/>
    </row>
    <row r="42" spans="1:35" ht="21" customHeight="1" x14ac:dyDescent="0.2">
      <c r="A42" s="146"/>
      <c r="B42" s="147"/>
      <c r="C42" s="147"/>
      <c r="D42" s="147"/>
      <c r="E42" s="147"/>
      <c r="F42" s="147"/>
      <c r="G42" s="147"/>
      <c r="H42" s="147"/>
      <c r="I42" s="147"/>
      <c r="J42" s="147"/>
      <c r="K42" s="148"/>
      <c r="L42" s="155"/>
      <c r="M42" s="146"/>
      <c r="N42" s="147"/>
      <c r="O42" s="147"/>
      <c r="P42" s="147"/>
      <c r="Q42" s="147"/>
      <c r="R42" s="147"/>
      <c r="S42" s="147"/>
      <c r="T42" s="147"/>
      <c r="U42" s="147"/>
      <c r="V42" s="147"/>
      <c r="W42" s="148"/>
      <c r="X42" s="155"/>
      <c r="Y42" s="146"/>
      <c r="Z42" s="147"/>
      <c r="AA42" s="147"/>
      <c r="AB42" s="147"/>
      <c r="AC42" s="147"/>
      <c r="AD42" s="147"/>
      <c r="AE42" s="147"/>
      <c r="AF42" s="147"/>
      <c r="AG42" s="147"/>
      <c r="AH42" s="147"/>
      <c r="AI42" s="148"/>
    </row>
    <row r="43" spans="1:35" ht="2" customHeight="1" x14ac:dyDescent="0.2">
      <c r="A43" s="155"/>
      <c r="B43" s="155"/>
      <c r="C43" s="155"/>
      <c r="D43" s="155"/>
      <c r="E43" s="155"/>
      <c r="F43" s="155"/>
      <c r="G43" s="155"/>
      <c r="H43" s="155"/>
      <c r="I43" s="155"/>
      <c r="J43" s="155"/>
      <c r="K43" s="155"/>
      <c r="L43" s="155"/>
      <c r="M43" s="155"/>
      <c r="N43" s="155"/>
      <c r="O43" s="155"/>
      <c r="P43" s="155"/>
      <c r="Q43" s="155"/>
      <c r="R43" s="155"/>
      <c r="S43" s="155"/>
      <c r="T43" s="155"/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  <c r="AF43" s="155"/>
      <c r="AG43" s="155"/>
      <c r="AH43" s="155"/>
      <c r="AI43" s="155"/>
    </row>
    <row r="44" spans="1:35" ht="21" customHeight="1" x14ac:dyDescent="0.2">
      <c r="A44" s="469" t="s">
        <v>437</v>
      </c>
      <c r="B44" s="469"/>
      <c r="C44" s="469"/>
      <c r="D44" s="469"/>
      <c r="E44" s="469"/>
      <c r="F44" s="469"/>
      <c r="G44" s="469"/>
      <c r="H44" s="469"/>
      <c r="I44" s="469"/>
      <c r="J44" s="469"/>
      <c r="K44" s="469"/>
      <c r="L44" s="151"/>
      <c r="M44" s="469" t="s">
        <v>437</v>
      </c>
      <c r="N44" s="469"/>
      <c r="O44" s="469"/>
      <c r="P44" s="469"/>
      <c r="Q44" s="469"/>
      <c r="R44" s="469"/>
      <c r="S44" s="469"/>
      <c r="T44" s="469"/>
      <c r="U44" s="469"/>
      <c r="V44" s="469"/>
      <c r="W44" s="469"/>
      <c r="X44" s="151"/>
      <c r="Y44" s="469" t="s">
        <v>437</v>
      </c>
      <c r="Z44" s="469"/>
      <c r="AA44" s="469"/>
      <c r="AB44" s="469"/>
      <c r="AC44" s="469"/>
      <c r="AD44" s="469"/>
      <c r="AE44" s="469"/>
      <c r="AF44" s="469"/>
      <c r="AG44" s="469"/>
      <c r="AH44" s="469"/>
      <c r="AI44" s="469"/>
    </row>
    <row r="45" spans="1:35" ht="21" customHeight="1" x14ac:dyDescent="0.2">
      <c r="A45" s="129"/>
      <c r="B45" s="131"/>
      <c r="C45" s="131"/>
      <c r="D45" s="131"/>
      <c r="E45" s="470"/>
      <c r="F45" s="470"/>
      <c r="G45" s="130" t="s">
        <v>28</v>
      </c>
      <c r="H45" s="133"/>
      <c r="I45" s="131" t="s">
        <v>427</v>
      </c>
      <c r="J45" s="131"/>
      <c r="K45" s="132"/>
      <c r="L45" s="152"/>
      <c r="M45" s="129"/>
      <c r="N45" s="131"/>
      <c r="O45" s="131"/>
      <c r="P45" s="131"/>
      <c r="Q45" s="470"/>
      <c r="R45" s="470"/>
      <c r="S45" s="130" t="s">
        <v>28</v>
      </c>
      <c r="T45" s="133"/>
      <c r="U45" s="131" t="s">
        <v>427</v>
      </c>
      <c r="V45" s="131"/>
      <c r="W45" s="132"/>
      <c r="X45" s="152"/>
      <c r="Y45" s="129"/>
      <c r="Z45" s="131"/>
      <c r="AA45" s="131"/>
      <c r="AB45" s="131"/>
      <c r="AC45" s="470"/>
      <c r="AD45" s="470"/>
      <c r="AE45" s="130" t="s">
        <v>28</v>
      </c>
      <c r="AF45" s="133"/>
      <c r="AG45" s="131" t="s">
        <v>427</v>
      </c>
      <c r="AH45" s="131"/>
      <c r="AI45" s="132"/>
    </row>
    <row r="46" spans="1:35" ht="21" customHeight="1" x14ac:dyDescent="0.2">
      <c r="A46" s="475" t="s">
        <v>437</v>
      </c>
      <c r="B46" s="475"/>
      <c r="C46" s="475"/>
      <c r="D46" s="475"/>
      <c r="E46" s="475"/>
      <c r="F46" s="475"/>
      <c r="G46" s="153" t="s">
        <v>426</v>
      </c>
      <c r="H46" s="468" t="s">
        <v>437</v>
      </c>
      <c r="I46" s="468"/>
      <c r="J46" s="468"/>
      <c r="K46" s="468"/>
      <c r="L46" s="160"/>
      <c r="M46" s="475" t="s">
        <v>437</v>
      </c>
      <c r="N46" s="475"/>
      <c r="O46" s="475"/>
      <c r="P46" s="475"/>
      <c r="Q46" s="475"/>
      <c r="R46" s="475"/>
      <c r="S46" s="153" t="s">
        <v>426</v>
      </c>
      <c r="T46" s="468" t="s">
        <v>437</v>
      </c>
      <c r="U46" s="468"/>
      <c r="V46" s="468"/>
      <c r="W46" s="468"/>
      <c r="X46" s="160"/>
      <c r="Y46" s="475" t="s">
        <v>437</v>
      </c>
      <c r="Z46" s="475"/>
      <c r="AA46" s="475"/>
      <c r="AB46" s="475"/>
      <c r="AC46" s="475"/>
      <c r="AD46" s="475"/>
      <c r="AE46" s="153" t="s">
        <v>426</v>
      </c>
      <c r="AF46" s="468" t="s">
        <v>437</v>
      </c>
      <c r="AG46" s="468"/>
      <c r="AH46" s="468"/>
      <c r="AI46" s="468"/>
    </row>
    <row r="47" spans="1:35" ht="21" customHeight="1" thickBot="1" x14ac:dyDescent="0.25">
      <c r="A47" s="134" t="s">
        <v>29</v>
      </c>
      <c r="B47" s="472" t="s">
        <v>437</v>
      </c>
      <c r="C47" s="472"/>
      <c r="D47" s="472"/>
      <c r="E47" s="472"/>
      <c r="F47" s="472"/>
      <c r="G47" s="135"/>
      <c r="H47" s="136" t="s">
        <v>407</v>
      </c>
      <c r="I47" s="135"/>
      <c r="J47" s="135"/>
      <c r="K47" s="137"/>
      <c r="L47" s="155"/>
      <c r="M47" s="134" t="s">
        <v>29</v>
      </c>
      <c r="N47" s="472">
        <v>43382</v>
      </c>
      <c r="O47" s="472"/>
      <c r="P47" s="472"/>
      <c r="Q47" s="472">
        <v>43382</v>
      </c>
      <c r="R47" s="472"/>
      <c r="S47" s="135"/>
      <c r="T47" s="136" t="s">
        <v>407</v>
      </c>
      <c r="U47" s="135"/>
      <c r="V47" s="135"/>
      <c r="W47" s="137"/>
      <c r="X47" s="155"/>
      <c r="Y47" s="134" t="s">
        <v>29</v>
      </c>
      <c r="Z47" s="472" t="s">
        <v>437</v>
      </c>
      <c r="AA47" s="472"/>
      <c r="AB47" s="472"/>
      <c r="AC47" s="472">
        <v>43382</v>
      </c>
      <c r="AD47" s="472"/>
      <c r="AE47" s="135"/>
      <c r="AF47" s="136" t="s">
        <v>407</v>
      </c>
      <c r="AG47" s="135"/>
      <c r="AH47" s="135"/>
      <c r="AI47" s="137"/>
    </row>
    <row r="48" spans="1:35" ht="21" customHeight="1" thickTop="1" x14ac:dyDescent="0.2">
      <c r="A48" s="129"/>
      <c r="B48" s="131"/>
      <c r="C48" s="131"/>
      <c r="D48" s="131"/>
      <c r="E48" s="138"/>
      <c r="F48" s="131"/>
      <c r="G48" s="131" t="s">
        <v>1021</v>
      </c>
      <c r="H48" s="131"/>
      <c r="I48" s="131"/>
      <c r="J48" s="131"/>
      <c r="K48" s="139"/>
      <c r="L48" s="155"/>
      <c r="M48" s="129"/>
      <c r="N48" s="131"/>
      <c r="O48" s="131"/>
      <c r="P48" s="131"/>
      <c r="Q48" s="138"/>
      <c r="R48" s="131"/>
      <c r="S48" s="131" t="s">
        <v>1021</v>
      </c>
      <c r="T48" s="131"/>
      <c r="U48" s="131"/>
      <c r="V48" s="131"/>
      <c r="W48" s="139"/>
      <c r="X48" s="155"/>
      <c r="Y48" s="129"/>
      <c r="Z48" s="131"/>
      <c r="AA48" s="131"/>
      <c r="AB48" s="131"/>
      <c r="AC48" s="138"/>
      <c r="AD48" s="131"/>
      <c r="AE48" s="131" t="s">
        <v>1021</v>
      </c>
      <c r="AF48" s="131"/>
      <c r="AG48" s="131"/>
      <c r="AH48" s="131"/>
      <c r="AI48" s="139"/>
    </row>
    <row r="49" spans="1:35" ht="21" customHeight="1" x14ac:dyDescent="0.25">
      <c r="A49" s="156" t="s">
        <v>405</v>
      </c>
      <c r="B49" s="474"/>
      <c r="C49" s="474"/>
      <c r="D49" s="474"/>
      <c r="E49" s="474"/>
      <c r="F49" s="474"/>
      <c r="G49" s="157" t="s">
        <v>12</v>
      </c>
      <c r="H49" s="157" t="s">
        <v>13</v>
      </c>
      <c r="I49" s="157" t="s">
        <v>14</v>
      </c>
      <c r="J49" s="157" t="s">
        <v>15</v>
      </c>
      <c r="K49" s="157" t="s">
        <v>16</v>
      </c>
      <c r="L49" s="158"/>
      <c r="M49" s="156" t="s">
        <v>405</v>
      </c>
      <c r="N49" s="474"/>
      <c r="O49" s="474"/>
      <c r="P49" s="474"/>
      <c r="Q49" s="474"/>
      <c r="R49" s="474"/>
      <c r="S49" s="157" t="s">
        <v>12</v>
      </c>
      <c r="T49" s="157" t="s">
        <v>13</v>
      </c>
      <c r="U49" s="157" t="s">
        <v>14</v>
      </c>
      <c r="V49" s="157" t="s">
        <v>15</v>
      </c>
      <c r="W49" s="157" t="s">
        <v>16</v>
      </c>
      <c r="X49" s="158"/>
      <c r="Y49" s="156" t="s">
        <v>405</v>
      </c>
      <c r="Z49" s="474"/>
      <c r="AA49" s="474"/>
      <c r="AB49" s="474"/>
      <c r="AC49" s="474"/>
      <c r="AD49" s="474"/>
      <c r="AE49" s="157" t="s">
        <v>12</v>
      </c>
      <c r="AF49" s="157" t="s">
        <v>13</v>
      </c>
      <c r="AG49" s="157" t="s">
        <v>14</v>
      </c>
      <c r="AH49" s="157" t="s">
        <v>15</v>
      </c>
      <c r="AI49" s="157" t="s">
        <v>16</v>
      </c>
    </row>
    <row r="50" spans="1:35" ht="24" customHeight="1" x14ac:dyDescent="0.2">
      <c r="A50" s="161"/>
      <c r="B50" s="131"/>
      <c r="C50" s="131"/>
      <c r="D50" s="131"/>
      <c r="E50" s="131"/>
      <c r="F50" s="131"/>
      <c r="G50" s="141"/>
      <c r="H50" s="141"/>
      <c r="I50" s="141"/>
      <c r="J50" s="141"/>
      <c r="K50" s="141"/>
      <c r="L50" s="155"/>
      <c r="M50" s="161"/>
      <c r="N50" s="131"/>
      <c r="O50" s="131"/>
      <c r="P50" s="131"/>
      <c r="Q50" s="131"/>
      <c r="R50" s="131"/>
      <c r="S50" s="141"/>
      <c r="T50" s="141"/>
      <c r="U50" s="141"/>
      <c r="V50" s="141"/>
      <c r="W50" s="141"/>
      <c r="X50" s="155"/>
      <c r="Y50" s="161"/>
      <c r="Z50" s="131"/>
      <c r="AA50" s="131"/>
      <c r="AB50" s="131"/>
      <c r="AC50" s="131"/>
      <c r="AD50" s="131"/>
      <c r="AE50" s="141"/>
      <c r="AF50" s="141"/>
      <c r="AG50" s="141"/>
      <c r="AH50" s="141"/>
      <c r="AI50" s="141"/>
    </row>
    <row r="51" spans="1:35" ht="24" customHeight="1" x14ac:dyDescent="0.2">
      <c r="A51" s="161"/>
      <c r="B51" s="131"/>
      <c r="C51" s="131"/>
      <c r="D51" s="131"/>
      <c r="E51" s="131"/>
      <c r="F51" s="131"/>
      <c r="G51" s="143"/>
      <c r="H51" s="143"/>
      <c r="I51" s="143"/>
      <c r="J51" s="143"/>
      <c r="K51" s="143"/>
      <c r="L51" s="155"/>
      <c r="M51" s="161"/>
      <c r="N51" s="131"/>
      <c r="O51" s="131"/>
      <c r="P51" s="131"/>
      <c r="Q51" s="131"/>
      <c r="R51" s="131"/>
      <c r="S51" s="143"/>
      <c r="T51" s="143"/>
      <c r="U51" s="143"/>
      <c r="V51" s="143"/>
      <c r="W51" s="143"/>
      <c r="X51" s="155"/>
      <c r="Y51" s="161"/>
      <c r="Z51" s="131"/>
      <c r="AA51" s="131"/>
      <c r="AB51" s="131"/>
      <c r="AC51" s="131"/>
      <c r="AD51" s="131"/>
      <c r="AE51" s="143"/>
      <c r="AF51" s="143"/>
      <c r="AG51" s="143"/>
      <c r="AH51" s="143"/>
      <c r="AI51" s="143"/>
    </row>
    <row r="52" spans="1:35" x14ac:dyDescent="0.2">
      <c r="A52" s="142" t="s">
        <v>156</v>
      </c>
      <c r="B52" s="130"/>
      <c r="C52" s="130"/>
      <c r="D52" s="130"/>
      <c r="E52" s="131"/>
      <c r="F52" s="131"/>
      <c r="G52" s="131"/>
      <c r="H52" s="131"/>
      <c r="I52" s="131"/>
      <c r="J52" s="131"/>
      <c r="K52" s="140"/>
      <c r="L52" s="155"/>
      <c r="M52" s="142" t="s">
        <v>156</v>
      </c>
      <c r="N52" s="130"/>
      <c r="O52" s="130"/>
      <c r="P52" s="130"/>
      <c r="Q52" s="131"/>
      <c r="R52" s="131"/>
      <c r="S52" s="131"/>
      <c r="T52" s="131"/>
      <c r="U52" s="131"/>
      <c r="V52" s="131"/>
      <c r="W52" s="140"/>
      <c r="X52" s="155"/>
      <c r="Y52" s="142" t="s">
        <v>156</v>
      </c>
      <c r="Z52" s="130"/>
      <c r="AA52" s="130"/>
      <c r="AB52" s="130"/>
      <c r="AC52" s="131"/>
      <c r="AD52" s="131"/>
      <c r="AE52" s="131"/>
      <c r="AF52" s="131"/>
      <c r="AG52" s="131"/>
      <c r="AH52" s="131"/>
      <c r="AI52" s="140"/>
    </row>
    <row r="53" spans="1:35" ht="24" customHeight="1" x14ac:dyDescent="0.2">
      <c r="A53" s="161"/>
      <c r="B53" s="131"/>
      <c r="C53" s="131"/>
      <c r="D53" s="131"/>
      <c r="E53" s="131"/>
      <c r="F53" s="131"/>
      <c r="G53" s="141"/>
      <c r="H53" s="141"/>
      <c r="I53" s="141"/>
      <c r="J53" s="141"/>
      <c r="K53" s="141"/>
      <c r="L53" s="155"/>
      <c r="M53" s="161"/>
      <c r="N53" s="131"/>
      <c r="O53" s="131"/>
      <c r="P53" s="131"/>
      <c r="Q53" s="131"/>
      <c r="R53" s="131"/>
      <c r="S53" s="141"/>
      <c r="T53" s="141"/>
      <c r="U53" s="141"/>
      <c r="V53" s="141"/>
      <c r="W53" s="141"/>
      <c r="X53" s="155"/>
      <c r="Y53" s="161"/>
      <c r="Z53" s="131"/>
      <c r="AA53" s="131"/>
      <c r="AB53" s="131"/>
      <c r="AC53" s="131"/>
      <c r="AD53" s="131"/>
      <c r="AE53" s="141"/>
      <c r="AF53" s="141"/>
      <c r="AG53" s="141"/>
      <c r="AH53" s="141"/>
      <c r="AI53" s="141"/>
    </row>
    <row r="54" spans="1:35" ht="24" customHeight="1" x14ac:dyDescent="0.2">
      <c r="A54" s="129"/>
      <c r="B54" s="131"/>
      <c r="C54" s="131"/>
      <c r="D54" s="131"/>
      <c r="E54" s="131"/>
      <c r="F54" s="131"/>
      <c r="G54" s="143"/>
      <c r="H54" s="143"/>
      <c r="I54" s="143"/>
      <c r="J54" s="143"/>
      <c r="K54" s="143"/>
      <c r="L54" s="155"/>
      <c r="M54" s="129"/>
      <c r="N54" s="131"/>
      <c r="O54" s="131"/>
      <c r="P54" s="131"/>
      <c r="Q54" s="131"/>
      <c r="R54" s="131"/>
      <c r="S54" s="143"/>
      <c r="T54" s="143"/>
      <c r="U54" s="143"/>
      <c r="V54" s="143"/>
      <c r="W54" s="143"/>
      <c r="X54" s="155"/>
      <c r="Y54" s="129"/>
      <c r="Z54" s="131"/>
      <c r="AA54" s="131"/>
      <c r="AB54" s="131"/>
      <c r="AC54" s="131"/>
      <c r="AD54" s="131"/>
      <c r="AE54" s="143"/>
      <c r="AF54" s="143"/>
      <c r="AG54" s="143"/>
      <c r="AH54" s="143"/>
      <c r="AI54" s="143"/>
    </row>
    <row r="55" spans="1:35" ht="21" customHeight="1" x14ac:dyDescent="0.2">
      <c r="A55" s="144" t="s">
        <v>406</v>
      </c>
      <c r="B55" s="145"/>
      <c r="C55" s="145"/>
      <c r="D55" s="145"/>
      <c r="E55" s="131"/>
      <c r="F55" s="131"/>
      <c r="G55" s="131"/>
      <c r="H55" s="131"/>
      <c r="I55" s="131"/>
      <c r="J55" s="131"/>
      <c r="K55" s="139"/>
      <c r="L55" s="155"/>
      <c r="M55" s="144" t="s">
        <v>406</v>
      </c>
      <c r="N55" s="145"/>
      <c r="O55" s="145"/>
      <c r="P55" s="145"/>
      <c r="Q55" s="131"/>
      <c r="R55" s="131"/>
      <c r="S55" s="131"/>
      <c r="T55" s="131"/>
      <c r="U55" s="131"/>
      <c r="V55" s="131"/>
      <c r="W55" s="139"/>
      <c r="X55" s="155"/>
      <c r="Y55" s="144" t="s">
        <v>406</v>
      </c>
      <c r="Z55" s="145"/>
      <c r="AA55" s="145"/>
      <c r="AB55" s="145"/>
      <c r="AC55" s="131"/>
      <c r="AD55" s="131"/>
      <c r="AE55" s="131"/>
      <c r="AF55" s="131"/>
      <c r="AG55" s="131"/>
      <c r="AH55" s="131"/>
      <c r="AI55" s="139"/>
    </row>
    <row r="56" spans="1:35" ht="21" customHeight="1" x14ac:dyDescent="0.2">
      <c r="A56" s="146"/>
      <c r="B56" s="147"/>
      <c r="C56" s="147"/>
      <c r="D56" s="147"/>
      <c r="E56" s="147"/>
      <c r="F56" s="147"/>
      <c r="G56" s="147"/>
      <c r="H56" s="147"/>
      <c r="I56" s="147"/>
      <c r="J56" s="147"/>
      <c r="K56" s="148"/>
      <c r="L56" s="155"/>
      <c r="M56" s="146"/>
      <c r="N56" s="147"/>
      <c r="O56" s="147"/>
      <c r="P56" s="147"/>
      <c r="Q56" s="147"/>
      <c r="R56" s="147"/>
      <c r="S56" s="147"/>
      <c r="T56" s="147"/>
      <c r="U56" s="147"/>
      <c r="V56" s="147"/>
      <c r="W56" s="148"/>
      <c r="X56" s="155"/>
      <c r="Y56" s="146"/>
      <c r="Z56" s="147"/>
      <c r="AA56" s="147"/>
      <c r="AB56" s="147"/>
      <c r="AC56" s="147"/>
      <c r="AD56" s="147"/>
      <c r="AE56" s="147"/>
      <c r="AF56" s="147"/>
      <c r="AG56" s="147"/>
      <c r="AH56" s="147"/>
      <c r="AI56" s="148"/>
    </row>
  </sheetData>
  <mergeCells count="72">
    <mergeCell ref="B47:F47"/>
    <mergeCell ref="N47:R47"/>
    <mergeCell ref="Z47:AD47"/>
    <mergeCell ref="B49:F49"/>
    <mergeCell ref="N49:R49"/>
    <mergeCell ref="Z49:AD49"/>
    <mergeCell ref="AF46:AI46"/>
    <mergeCell ref="A44:K44"/>
    <mergeCell ref="M44:W44"/>
    <mergeCell ref="Y44:AI44"/>
    <mergeCell ref="E45:F45"/>
    <mergeCell ref="Q45:R45"/>
    <mergeCell ref="AC45:AD45"/>
    <mergeCell ref="A46:F46"/>
    <mergeCell ref="H46:K46"/>
    <mergeCell ref="M46:R46"/>
    <mergeCell ref="T46:W46"/>
    <mergeCell ref="Y46:AD46"/>
    <mergeCell ref="B33:F33"/>
    <mergeCell ref="N33:R33"/>
    <mergeCell ref="Z33:AD33"/>
    <mergeCell ref="B35:F35"/>
    <mergeCell ref="N35:R35"/>
    <mergeCell ref="Z35:AD35"/>
    <mergeCell ref="AF32:AI32"/>
    <mergeCell ref="A30:K30"/>
    <mergeCell ref="M30:W30"/>
    <mergeCell ref="Y30:AI30"/>
    <mergeCell ref="B31:F31"/>
    <mergeCell ref="N31:R31"/>
    <mergeCell ref="AC31:AD31"/>
    <mergeCell ref="A32:F32"/>
    <mergeCell ref="H32:K32"/>
    <mergeCell ref="M32:R32"/>
    <mergeCell ref="T32:W32"/>
    <mergeCell ref="Y32:AD32"/>
    <mergeCell ref="B18:F18"/>
    <mergeCell ref="N18:R18"/>
    <mergeCell ref="Z18:AD18"/>
    <mergeCell ref="B20:F20"/>
    <mergeCell ref="N20:R20"/>
    <mergeCell ref="Z20:AD20"/>
    <mergeCell ref="AF17:AI17"/>
    <mergeCell ref="A15:K15"/>
    <mergeCell ref="M15:W15"/>
    <mergeCell ref="Y15:AI15"/>
    <mergeCell ref="B16:F16"/>
    <mergeCell ref="N16:R16"/>
    <mergeCell ref="AC16:AD16"/>
    <mergeCell ref="A17:F17"/>
    <mergeCell ref="H17:K17"/>
    <mergeCell ref="M17:R17"/>
    <mergeCell ref="T17:W17"/>
    <mergeCell ref="Y17:AD17"/>
    <mergeCell ref="B4:F4"/>
    <mergeCell ref="N4:R4"/>
    <mergeCell ref="Z4:AD4"/>
    <mergeCell ref="B6:F6"/>
    <mergeCell ref="N6:R6"/>
    <mergeCell ref="Z6:AD6"/>
    <mergeCell ref="AF3:AI3"/>
    <mergeCell ref="A1:K1"/>
    <mergeCell ref="M1:W1"/>
    <mergeCell ref="Y1:AI1"/>
    <mergeCell ref="B2:F2"/>
    <mergeCell ref="N2:R2"/>
    <mergeCell ref="AC2:AD2"/>
    <mergeCell ref="A3:F3"/>
    <mergeCell ref="H3:K3"/>
    <mergeCell ref="M3:R3"/>
    <mergeCell ref="T3:W3"/>
    <mergeCell ref="Y3:AD3"/>
  </mergeCells>
  <pageMargins left="0.19685039370078741" right="0.19685039370078741" top="0.15748031496062992" bottom="0.15748031496062992" header="0.11811023622047245" footer="0.11811023622047245"/>
  <pageSetup paperSize="9" scale="65" fitToHeight="2" orientation="landscape" r:id="rId1"/>
  <headerFooter>
    <oddHeader>&amp;C&amp;"Calibri"&amp;10&amp;KFF8C00C2 - Confidential&amp;1#</oddHeader>
  </headerFooter>
  <rowBreaks count="1" manualBreakCount="1">
    <brk id="28" max="34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euil2">
    <tabColor rgb="FFC00000"/>
  </sheetPr>
  <dimension ref="A1:CO65"/>
  <sheetViews>
    <sheetView showGridLines="0" tabSelected="1" zoomScale="80" zoomScaleNormal="80" zoomScaleSheetLayoutView="70" workbookViewId="0">
      <selection activeCell="AF15" sqref="AF15"/>
    </sheetView>
  </sheetViews>
  <sheetFormatPr baseColWidth="10" defaultRowHeight="16" outlineLevelCol="1" x14ac:dyDescent="0.2"/>
  <cols>
    <col min="1" max="12" width="5.6640625" customWidth="1"/>
    <col min="13" max="13" width="8.6640625" customWidth="1"/>
    <col min="14" max="18" width="5.6640625" customWidth="1"/>
    <col min="19" max="19" width="5.5" customWidth="1"/>
    <col min="20" max="27" width="5.6640625" customWidth="1"/>
    <col min="28" max="28" width="2.33203125" customWidth="1"/>
    <col min="29" max="29" width="22.1640625" customWidth="1"/>
    <col min="30" max="30" width="16.6640625" customWidth="1"/>
    <col min="31" max="31" width="7.1640625" customWidth="1"/>
    <col min="32" max="33" width="25.33203125" bestFit="1" customWidth="1"/>
    <col min="34" max="39" width="5.6640625" hidden="1" customWidth="1" outlineLevel="1"/>
    <col min="40" max="51" width="5.6640625" style="3" hidden="1" customWidth="1" outlineLevel="1"/>
    <col min="52" max="52" width="5.6640625" customWidth="1" collapsed="1"/>
    <col min="53" max="53" width="5.6640625" hidden="1" customWidth="1" outlineLevel="1"/>
    <col min="54" max="54" width="7.1640625" hidden="1" customWidth="1" outlineLevel="1"/>
    <col min="55" max="55" width="5.6640625" hidden="1" customWidth="1" outlineLevel="1"/>
    <col min="56" max="57" width="11" hidden="1" customWidth="1" outlineLevel="1"/>
    <col min="58" max="58" width="16.6640625" hidden="1" customWidth="1" outlineLevel="1"/>
    <col min="59" max="63" width="11" hidden="1" customWidth="1" outlineLevel="1"/>
    <col min="64" max="64" width="11" collapsed="1"/>
    <col min="71" max="90" width="10.6640625" outlineLevel="1"/>
  </cols>
  <sheetData>
    <row r="1" spans="1:93" ht="21" customHeight="1" x14ac:dyDescent="0.2">
      <c r="A1" s="114" t="s">
        <v>1662</v>
      </c>
      <c r="BS1" s="287" t="s">
        <v>1032</v>
      </c>
      <c r="BT1" t="s">
        <v>1055</v>
      </c>
      <c r="BU1">
        <f>R3</f>
        <v>0</v>
      </c>
      <c r="BV1" s="288" t="str">
        <f>+D2</f>
        <v/>
      </c>
      <c r="BW1" s="288" t="str">
        <f>IF(ISBLANK(D3),D2,D3)</f>
        <v/>
      </c>
      <c r="BX1">
        <f>G3</f>
        <v>0</v>
      </c>
      <c r="BY1" s="170">
        <f>R3</f>
        <v>0</v>
      </c>
      <c r="BZ1" t="str">
        <f>B6&amp;" "&amp;F6</f>
        <v xml:space="preserve"> </v>
      </c>
      <c r="CA1" t="s">
        <v>156</v>
      </c>
      <c r="CB1" t="str">
        <f>N6&amp;" "&amp;R6</f>
        <v xml:space="preserve"> </v>
      </c>
      <c r="CD1">
        <f>L23</f>
        <v>0</v>
      </c>
      <c r="CE1">
        <f>N23</f>
        <v>0</v>
      </c>
      <c r="CG1">
        <f>AK33</f>
        <v>0</v>
      </c>
      <c r="CH1">
        <f>AK34</f>
        <v>0</v>
      </c>
      <c r="CJ1">
        <f>ROUND(AL33,0)</f>
        <v>0</v>
      </c>
      <c r="CK1">
        <f>ROUND(AL34,0)</f>
        <v>0</v>
      </c>
      <c r="CM1" s="288"/>
      <c r="CO1" s="170"/>
    </row>
    <row r="2" spans="1:93" ht="29" customHeight="1" x14ac:dyDescent="0.2">
      <c r="A2" s="45" t="s">
        <v>23</v>
      </c>
      <c r="D2" s="545" t="str">
        <f>IFERROR(VLOOKUP(R3,JourneeCN,2,FALSE), "")</f>
        <v/>
      </c>
      <c r="E2" s="545"/>
      <c r="F2" s="545"/>
      <c r="G2" s="545"/>
      <c r="H2" s="545"/>
      <c r="AC2" t="s">
        <v>418</v>
      </c>
      <c r="AD2" s="87"/>
      <c r="AE2" s="87"/>
      <c r="AF2" s="87"/>
      <c r="AH2" s="87"/>
    </row>
    <row r="3" spans="1:93" ht="25" customHeight="1" x14ac:dyDescent="0.2">
      <c r="A3" s="27" t="s">
        <v>272</v>
      </c>
      <c r="C3" s="435"/>
      <c r="D3" s="436"/>
      <c r="F3" s="167" t="s">
        <v>462</v>
      </c>
      <c r="G3" s="513"/>
      <c r="H3" s="513"/>
      <c r="I3" s="513"/>
      <c r="J3" s="513"/>
      <c r="K3" s="513"/>
      <c r="L3" s="513"/>
      <c r="O3" s="89"/>
      <c r="P3" s="45" t="s">
        <v>387</v>
      </c>
      <c r="Q3" s="27"/>
      <c r="R3" s="546"/>
      <c r="S3" s="546"/>
      <c r="AC3" s="27" t="s">
        <v>476</v>
      </c>
      <c r="AN3"/>
    </row>
    <row r="4" spans="1:93" ht="21" customHeight="1" thickBot="1" x14ac:dyDescent="0.25">
      <c r="E4" s="13"/>
      <c r="F4" s="8"/>
      <c r="G4" s="168"/>
      <c r="H4" s="169"/>
      <c r="I4" s="7"/>
      <c r="J4" s="7"/>
      <c r="K4" s="7"/>
      <c r="L4" s="7"/>
      <c r="M4" s="7"/>
      <c r="N4" s="7"/>
      <c r="O4" s="7"/>
      <c r="AC4" s="27" t="s">
        <v>372</v>
      </c>
      <c r="AN4"/>
      <c r="BG4">
        <v>1</v>
      </c>
    </row>
    <row r="5" spans="1:93" ht="21" customHeight="1" thickTop="1" x14ac:dyDescent="0.2">
      <c r="A5" s="61"/>
      <c r="B5" s="50" t="s">
        <v>425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94" t="s">
        <v>424</v>
      </c>
      <c r="O5" s="48"/>
      <c r="P5" s="48"/>
      <c r="Q5" s="48"/>
      <c r="R5" s="48"/>
      <c r="S5" s="48"/>
      <c r="T5" s="48"/>
      <c r="U5" s="51"/>
      <c r="AC5" s="27" t="s">
        <v>477</v>
      </c>
      <c r="AN5"/>
      <c r="BG5">
        <v>2</v>
      </c>
    </row>
    <row r="6" spans="1:93" ht="25" customHeight="1" thickBot="1" x14ac:dyDescent="0.25">
      <c r="A6" s="62"/>
      <c r="B6" s="509"/>
      <c r="C6" s="510"/>
      <c r="D6" s="510"/>
      <c r="E6" s="5"/>
      <c r="F6" s="52"/>
      <c r="G6" s="5"/>
      <c r="H6" s="5"/>
      <c r="I6" s="5"/>
      <c r="J6" s="5"/>
      <c r="K6" s="5"/>
      <c r="L6" s="5"/>
      <c r="M6" s="5"/>
      <c r="N6" s="511"/>
      <c r="O6" s="510"/>
      <c r="P6" s="510"/>
      <c r="Q6" s="5"/>
      <c r="R6" s="52"/>
      <c r="S6" s="5"/>
      <c r="T6" s="5"/>
      <c r="U6" s="53"/>
      <c r="AC6" s="27" t="s">
        <v>374</v>
      </c>
      <c r="AM6" s="2"/>
      <c r="AN6" s="4"/>
      <c r="BG6">
        <v>3</v>
      </c>
    </row>
    <row r="7" spans="1:93" ht="21" customHeight="1" thickTop="1" x14ac:dyDescent="0.25">
      <c r="W7" s="75" t="str">
        <f>+'Coupes départementales'!W6</f>
        <v>Mise à jour du 24 Novembre 2025</v>
      </c>
      <c r="AC7" s="27" t="s">
        <v>377</v>
      </c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B7" s="15"/>
      <c r="BC7" s="15"/>
      <c r="BD7" s="15"/>
      <c r="BG7" s="15">
        <v>1</v>
      </c>
    </row>
    <row r="8" spans="1:93" ht="21" customHeight="1" thickBot="1" x14ac:dyDescent="0.25">
      <c r="G8" s="14"/>
      <c r="AC8" s="27" t="s">
        <v>482</v>
      </c>
      <c r="BG8">
        <v>2</v>
      </c>
    </row>
    <row r="9" spans="1:93" ht="21" customHeight="1" thickTop="1" thickBot="1" x14ac:dyDescent="0.25">
      <c r="A9" s="63"/>
      <c r="B9" s="95" t="s">
        <v>370</v>
      </c>
      <c r="C9" s="56" t="s">
        <v>274</v>
      </c>
      <c r="D9" s="57"/>
      <c r="E9" s="57"/>
      <c r="F9" s="57"/>
      <c r="G9" s="57"/>
      <c r="H9" s="59"/>
      <c r="I9" s="71" t="s">
        <v>275</v>
      </c>
      <c r="J9" s="442" t="s">
        <v>367</v>
      </c>
      <c r="K9" s="443"/>
      <c r="L9" s="57"/>
      <c r="M9" s="59"/>
      <c r="N9" s="60"/>
      <c r="O9" s="59"/>
      <c r="P9" s="96" t="s">
        <v>370</v>
      </c>
      <c r="Q9" s="56" t="s">
        <v>274</v>
      </c>
      <c r="R9" s="57"/>
      <c r="S9" s="59"/>
      <c r="T9" s="59"/>
      <c r="U9" s="59"/>
      <c r="V9" s="59"/>
      <c r="W9" s="59"/>
      <c r="X9" s="71" t="s">
        <v>275</v>
      </c>
      <c r="Y9" s="442" t="s">
        <v>367</v>
      </c>
      <c r="Z9" s="443"/>
      <c r="AA9" s="60"/>
      <c r="AC9" s="27" t="s">
        <v>375</v>
      </c>
      <c r="BG9">
        <v>3</v>
      </c>
    </row>
    <row r="10" spans="1:93" ht="25" customHeight="1" x14ac:dyDescent="0.25">
      <c r="A10" s="290" t="s">
        <v>0</v>
      </c>
      <c r="B10" s="311"/>
      <c r="C10" s="291" t="str">
        <f>IF(B10="","",IFERROR(VLOOKUP($B$6&amp;$B10,'LISTE JOUEURS'!$P:$S,2,0),"")) &amp;" "&amp; IF(B10="","",IFERROR(VLOOKUP($B$6&amp;$B10,'LISTE JOUEURS'!$P:$S,3,0),""))</f>
        <v xml:space="preserve"> </v>
      </c>
      <c r="D10" s="292"/>
      <c r="E10" s="292"/>
      <c r="F10" s="292"/>
      <c r="G10" s="293"/>
      <c r="H10" s="293"/>
      <c r="I10" s="312" t="str">
        <f>IF(B10="","",IFERROR(VLOOKUP($B$6&amp;$B10,'LISTE JOUEURS'!$P:$U,4,0),500))</f>
        <v/>
      </c>
      <c r="J10" s="519" t="str">
        <f>IF(B10="","",IFERROR(VLOOKUP($B$6&amp;$B10,'LISTE JOUEURS'!$P:$U,5,0),""))</f>
        <v/>
      </c>
      <c r="K10" s="520"/>
      <c r="L10" s="313"/>
      <c r="M10" s="293"/>
      <c r="N10" s="389"/>
      <c r="O10" s="294" t="s">
        <v>4</v>
      </c>
      <c r="P10" s="314"/>
      <c r="Q10" s="295" t="str">
        <f>IF(P10="","",IFERROR(VLOOKUP($N$6&amp;$P10,'LISTE JOUEURS'!$P:$S,2,0),""))&amp; " "&amp;IF(P10="","",IFERROR(VLOOKUP($N$6&amp;$P10,'LISTE JOUEURS'!$P:$S,3,0),""))</f>
        <v xml:space="preserve"> </v>
      </c>
      <c r="R10" s="292"/>
      <c r="S10" s="292"/>
      <c r="T10" s="292"/>
      <c r="U10" s="293"/>
      <c r="V10" s="293"/>
      <c r="W10" s="293"/>
      <c r="X10" s="312" t="str">
        <f>IF(P10="","",IFERROR(VLOOKUP($N$6&amp;$P10,'LISTE JOUEURS'!$P:$U,4,0),500))</f>
        <v/>
      </c>
      <c r="Y10" s="521" t="str">
        <f>IF(P10="","",IFERROR(VLOOKUP($N$6&amp;$P10,'LISTE JOUEURS'!$P:$U,5,0),""))</f>
        <v/>
      </c>
      <c r="Z10" s="522"/>
      <c r="AA10" s="296"/>
      <c r="AC10" s="27" t="s">
        <v>394</v>
      </c>
      <c r="AM10" s="2"/>
      <c r="AN10" s="4"/>
      <c r="BH10" s="21" t="s">
        <v>31</v>
      </c>
      <c r="BI10" s="22" t="s">
        <v>29</v>
      </c>
      <c r="BJ10" s="23" t="s">
        <v>30</v>
      </c>
    </row>
    <row r="11" spans="1:93" ht="25" customHeight="1" x14ac:dyDescent="0.25">
      <c r="A11" s="350" t="s">
        <v>1</v>
      </c>
      <c r="B11" s="351"/>
      <c r="C11" s="352" t="str">
        <f>IF(B11="","",IFERROR(VLOOKUP($B$6&amp;$B11,'LISTE JOUEURS'!$P:$S,2,0),"")) &amp;" "&amp; IF(B11="","",IFERROR(VLOOKUP($B$6&amp;$B11,'LISTE JOUEURS'!$P:$S,3,0),""))</f>
        <v xml:space="preserve"> </v>
      </c>
      <c r="D11" s="353"/>
      <c r="E11" s="353"/>
      <c r="F11" s="353"/>
      <c r="G11" s="353"/>
      <c r="H11" s="353"/>
      <c r="I11" s="354" t="str">
        <f>IF(B11="","",IFERROR(VLOOKUP($B$6&amp;$B11,'LISTE JOUEURS'!$P:$U,4,0),500))</f>
        <v/>
      </c>
      <c r="J11" s="535" t="str">
        <f>IF(B11="","",IFERROR(VLOOKUP($B$6&amp;$B11,'LISTE JOUEURS'!$P:$U,5,0),""))</f>
        <v/>
      </c>
      <c r="K11" s="536"/>
      <c r="L11" s="355"/>
      <c r="M11" s="353"/>
      <c r="N11" s="392"/>
      <c r="O11" s="356" t="s">
        <v>5</v>
      </c>
      <c r="P11" s="357"/>
      <c r="Q11" s="358" t="str">
        <f>IF(P11="","",IFERROR(VLOOKUP($N$6&amp;$P11,'LISTE JOUEURS'!$P:$S,2,0),""))&amp; " "&amp;IF(P11="","",IFERROR(VLOOKUP($N$6&amp;$P11,'LISTE JOUEURS'!$P:$S,3,0),""))</f>
        <v xml:space="preserve"> </v>
      </c>
      <c r="R11" s="353"/>
      <c r="S11" s="353"/>
      <c r="T11" s="353"/>
      <c r="U11" s="359"/>
      <c r="V11" s="359"/>
      <c r="W11" s="359"/>
      <c r="X11" s="354" t="str">
        <f>IF(P11="","",IFERROR(VLOOKUP($N$6&amp;$P11,'LISTE JOUEURS'!$P:$U,4,0),500))</f>
        <v/>
      </c>
      <c r="Y11" s="537" t="str">
        <f>IF(P11="","",IFERROR(VLOOKUP($N$6&amp;$P11,'LISTE JOUEURS'!$P:$U,5,0),""))</f>
        <v/>
      </c>
      <c r="Z11" s="538"/>
      <c r="AA11" s="360"/>
      <c r="AC11" s="27" t="s">
        <v>395</v>
      </c>
      <c r="BH11" s="29" t="s">
        <v>32</v>
      </c>
      <c r="BI11" s="30" t="str">
        <f>'Coupes Nationales'!$D$2</f>
        <v/>
      </c>
      <c r="BJ11" s="31">
        <f>IFERROR(IF(L17=1,VLOOKUP(B6&amp;B10,'LISTE JOUEURS'!$P:$U,6,0),VLOOKUP(N6&amp;P10,'LISTE JOUEURS'!$P:$U,6,0)),0)</f>
        <v>0</v>
      </c>
      <c r="BK11" t="e">
        <f>+_xlfn.XLOOKUP(BJ11,'LISTE JOUEURS'!$U:$U,'LISTE JOUEURS'!$Q:$Q)&amp;" "&amp;_xlfn.XLOOKUP(BJ11,'LISTE JOUEURS'!$U:$U,'LISTE JOUEURS'!$R:$R)</f>
        <v>#N/A</v>
      </c>
    </row>
    <row r="12" spans="1:93" ht="25" customHeight="1" x14ac:dyDescent="0.25">
      <c r="A12" s="541" t="s">
        <v>464</v>
      </c>
      <c r="B12" s="361"/>
      <c r="C12" s="291" t="str">
        <f>IF(B12="","",IFERROR(VLOOKUP($B$6&amp;$B12,'LISTE JOUEURS'!$P:$S,2,0),"")) &amp;" "&amp; IF(B12="","",IFERROR(VLOOKUP($B$6&amp;$B12,'LISTE JOUEURS'!$P:$S,3,0),""))</f>
        <v xml:space="preserve"> </v>
      </c>
      <c r="D12" s="292"/>
      <c r="E12" s="292"/>
      <c r="F12" s="292"/>
      <c r="G12" s="293"/>
      <c r="H12" s="293"/>
      <c r="I12" s="312" t="str">
        <f>IF(B12="","",IFERROR(VLOOKUP($B$6&amp;$B12,'LISTE JOUEURS'!$P:$U,4,0),500))</f>
        <v/>
      </c>
      <c r="J12" s="519" t="str">
        <f>IF(B12="","",IFERROR(VLOOKUP($B$6&amp;$B12,'LISTE JOUEURS'!$P:$U,5,0),""))</f>
        <v/>
      </c>
      <c r="K12" s="520"/>
      <c r="L12" s="313"/>
      <c r="M12" s="293"/>
      <c r="N12" s="389"/>
      <c r="O12" s="543" t="s">
        <v>464</v>
      </c>
      <c r="P12" s="362"/>
      <c r="Q12" s="295" t="str">
        <f>IF(P12="","",IFERROR(VLOOKUP($N$6&amp;$P12,'LISTE JOUEURS'!$P:$S,2,0),""))&amp; " "&amp;IF(P12="","",IFERROR(VLOOKUP($N$6&amp;$P12,'LISTE JOUEURS'!$P:$S,3,0),""))</f>
        <v xml:space="preserve"> </v>
      </c>
      <c r="R12" s="292"/>
      <c r="S12" s="292"/>
      <c r="T12" s="292"/>
      <c r="U12" s="293"/>
      <c r="V12" s="293"/>
      <c r="W12" s="293"/>
      <c r="X12" s="312" t="str">
        <f>IF(P12="","",IFERROR(VLOOKUP($N$6&amp;$P12,'LISTE JOUEURS'!$P:$U,4,0),500))</f>
        <v/>
      </c>
      <c r="Y12" s="521" t="str">
        <f>IF(P12="","",IFERROR(VLOOKUP($N$6&amp;$P12,'LISTE JOUEURS'!$P:$U,5,0),""))</f>
        <v/>
      </c>
      <c r="Z12" s="522"/>
      <c r="AA12" s="296"/>
      <c r="AC12" s="27" t="s">
        <v>404</v>
      </c>
      <c r="BH12" s="29" t="s">
        <v>33</v>
      </c>
      <c r="BI12" s="30" t="str">
        <f>'Coupes Nationales'!$D$2</f>
        <v/>
      </c>
      <c r="BJ12" s="31">
        <f>IFERROR(IF(L17=0,VLOOKUP(B6&amp;B10,'LISTE JOUEURS'!$P:$U,6,0),VLOOKUP(N6&amp;P10,'LISTE JOUEURS'!$P:$U,6,0)),0)</f>
        <v>0</v>
      </c>
      <c r="BK12" t="e">
        <f>+_xlfn.XLOOKUP(BJ12,'LISTE JOUEURS'!$U:$U,'LISTE JOUEURS'!$Q:$Q)&amp;" "&amp;_xlfn.XLOOKUP(BJ12,'LISTE JOUEURS'!$U:$U,'LISTE JOUEURS'!$R:$R)</f>
        <v>#N/A</v>
      </c>
    </row>
    <row r="13" spans="1:93" ht="25" customHeight="1" thickBot="1" x14ac:dyDescent="0.3">
      <c r="A13" s="542"/>
      <c r="B13" s="363"/>
      <c r="C13" s="305" t="str">
        <f>IF(B13="","",IFERROR(VLOOKUP($B$6&amp;$B13,'LISTE JOUEURS'!$P:$S,2,0),"")) &amp;" "&amp; IF(B13="","",IFERROR(VLOOKUP($B$6&amp;$B13,'LISTE JOUEURS'!$P:$S,3,0),""))</f>
        <v xml:space="preserve"> </v>
      </c>
      <c r="D13" s="309"/>
      <c r="E13" s="309"/>
      <c r="F13" s="309"/>
      <c r="G13" s="309"/>
      <c r="H13" s="309"/>
      <c r="I13" s="320" t="str">
        <f>IF(B13="","",IFERROR(VLOOKUP($B$6&amp;$B13,'LISTE JOUEURS'!$P:$U,4,0),500))</f>
        <v/>
      </c>
      <c r="J13" s="514" t="str">
        <f>IF(B13="","",IFERROR(VLOOKUP($B$6&amp;$B13,'LISTE JOUEURS'!$P:$U,5,0),""))</f>
        <v/>
      </c>
      <c r="K13" s="515"/>
      <c r="L13" s="321"/>
      <c r="M13" s="309"/>
      <c r="N13" s="391"/>
      <c r="O13" s="544"/>
      <c r="P13" s="364"/>
      <c r="Q13" s="308" t="str">
        <f>IF(P13="","",IFERROR(VLOOKUP($N$6&amp;$P13,'LISTE JOUEURS'!$P:$S,2,0),""))&amp; " "&amp;IF(P13="","",IFERROR(VLOOKUP($N$6&amp;$P13,'LISTE JOUEURS'!$P:$S,3,0),""))</f>
        <v xml:space="preserve"> </v>
      </c>
      <c r="R13" s="309"/>
      <c r="S13" s="309"/>
      <c r="T13" s="309"/>
      <c r="U13" s="306"/>
      <c r="V13" s="306"/>
      <c r="W13" s="306"/>
      <c r="X13" s="320" t="str">
        <f>IF(P13="","",IFERROR(VLOOKUP($N$6&amp;$P13,'LISTE JOUEURS'!$P:$U,4,0),500))</f>
        <v/>
      </c>
      <c r="Y13" s="516" t="str">
        <f>IF(P13="","",IFERROR(VLOOKUP($N$6&amp;$P13,'LISTE JOUEURS'!$P:$U,5,0),""))</f>
        <v/>
      </c>
      <c r="Z13" s="517"/>
      <c r="AA13" s="310"/>
      <c r="AC13" s="27" t="s">
        <v>420</v>
      </c>
      <c r="BH13" s="29" t="s">
        <v>32</v>
      </c>
      <c r="BI13" s="30" t="str">
        <f>'Coupes Nationales'!$D$2</f>
        <v/>
      </c>
      <c r="BJ13" s="31">
        <f>IFERROR(IF(L18=1,VLOOKUP(B6&amp;B11,'LISTE JOUEURS'!$P:$U,6,0),VLOOKUP(N6&amp;P11,'LISTE JOUEURS'!$P:$U,6,0)),0)</f>
        <v>0</v>
      </c>
      <c r="BK13" t="e">
        <f>+_xlfn.XLOOKUP(BJ13,'LISTE JOUEURS'!$U:$U,'LISTE JOUEURS'!$Q:$Q)&amp;" "&amp;_xlfn.XLOOKUP(BJ13,'LISTE JOUEURS'!$U:$U,'LISTE JOUEURS'!$R:$R)</f>
        <v>#N/A</v>
      </c>
    </row>
    <row r="14" spans="1:93" ht="21" customHeight="1" thickTop="1" x14ac:dyDescent="0.2">
      <c r="AC14" s="79" t="s">
        <v>419</v>
      </c>
      <c r="BH14" s="29" t="s">
        <v>33</v>
      </c>
      <c r="BI14" s="30" t="str">
        <f>'Coupes Nationales'!$D$2</f>
        <v/>
      </c>
      <c r="BJ14" s="31">
        <f>IFERROR(IF(L18=0,VLOOKUP(B6&amp;B11,'LISTE JOUEURS'!$P:$U,6,0),VLOOKUP(N6&amp;P11,'LISTE JOUEURS'!$P:$U,6,0)),0)</f>
        <v>0</v>
      </c>
      <c r="BK14" t="e">
        <f>+_xlfn.XLOOKUP(BJ14,'LISTE JOUEURS'!$U:$U,'LISTE JOUEURS'!$Q:$Q)&amp;" "&amp;_xlfn.XLOOKUP(BJ14,'LISTE JOUEURS'!$U:$U,'LISTE JOUEURS'!$R:$R)</f>
        <v>#N/A</v>
      </c>
    </row>
    <row r="15" spans="1:93" ht="21" customHeight="1" thickBot="1" x14ac:dyDescent="0.25">
      <c r="J15" s="27" t="s">
        <v>463</v>
      </c>
      <c r="BH15" s="29" t="s">
        <v>32</v>
      </c>
      <c r="BI15" s="30" t="str">
        <f>'Coupes Nationales'!$D$2</f>
        <v/>
      </c>
      <c r="BJ15" s="31">
        <f>IFERROR(IF(L20=1,VLOOKUP(B6&amp;B11,'LISTE JOUEURS'!$P:$U,6,0),VLOOKUP(N6&amp;P10,'LISTE JOUEURS'!$P:$U,6,0)),0)</f>
        <v>0</v>
      </c>
      <c r="BK15" t="e">
        <f>+_xlfn.XLOOKUP(BJ15,'LISTE JOUEURS'!$U:$U,'LISTE JOUEURS'!$Q:$Q)&amp;" "&amp;_xlfn.XLOOKUP(BJ15,'LISTE JOUEURS'!$U:$U,'LISTE JOUEURS'!$R:$R)</f>
        <v>#N/A</v>
      </c>
    </row>
    <row r="16" spans="1:93" ht="21" customHeight="1" thickTop="1" x14ac:dyDescent="0.25">
      <c r="A16" s="70" t="s">
        <v>12</v>
      </c>
      <c r="B16" s="72" t="s">
        <v>13</v>
      </c>
      <c r="C16" s="72" t="s">
        <v>14</v>
      </c>
      <c r="D16" s="72" t="s">
        <v>15</v>
      </c>
      <c r="E16" s="72" t="s">
        <v>16</v>
      </c>
      <c r="F16" s="97" t="str">
        <f>B6&amp;" "&amp;F6</f>
        <v xml:space="preserve"> </v>
      </c>
      <c r="G16" s="59"/>
      <c r="H16" s="59"/>
      <c r="I16" s="59"/>
      <c r="J16" s="59"/>
      <c r="K16" s="59"/>
      <c r="L16" s="71" t="s">
        <v>388</v>
      </c>
      <c r="M16" s="59"/>
      <c r="N16" s="71" t="s">
        <v>389</v>
      </c>
      <c r="O16" s="97" t="str">
        <f>N6&amp;" "&amp;R6</f>
        <v xml:space="preserve"> </v>
      </c>
      <c r="P16" s="97"/>
      <c r="Q16" s="97"/>
      <c r="R16" s="57"/>
      <c r="S16" s="57"/>
      <c r="T16" s="57"/>
      <c r="U16" s="99" t="s">
        <v>371</v>
      </c>
      <c r="V16" s="59"/>
      <c r="W16" s="59"/>
      <c r="X16" s="59"/>
      <c r="Y16" s="59"/>
      <c r="Z16" s="59"/>
      <c r="AA16" s="60"/>
      <c r="AC16" s="126" t="s">
        <v>158</v>
      </c>
      <c r="AD16" t="s">
        <v>2074</v>
      </c>
      <c r="AI16" t="s">
        <v>997</v>
      </c>
      <c r="AJ16" t="s">
        <v>998</v>
      </c>
      <c r="AK16" t="s">
        <v>999</v>
      </c>
      <c r="AL16" t="s">
        <v>1000</v>
      </c>
      <c r="AM16" t="s">
        <v>1001</v>
      </c>
      <c r="AN16" t="s">
        <v>997</v>
      </c>
      <c r="AO16" t="s">
        <v>998</v>
      </c>
      <c r="AP16" t="s">
        <v>999</v>
      </c>
      <c r="AQ16" t="s">
        <v>1000</v>
      </c>
      <c r="AR16" t="s">
        <v>1001</v>
      </c>
      <c r="AS16" t="s">
        <v>997</v>
      </c>
      <c r="AT16" t="s">
        <v>998</v>
      </c>
      <c r="AU16" t="s">
        <v>999</v>
      </c>
      <c r="AV16" t="s">
        <v>1000</v>
      </c>
      <c r="AW16" t="s">
        <v>1001</v>
      </c>
      <c r="BH16" s="29" t="s">
        <v>33</v>
      </c>
      <c r="BI16" s="30" t="str">
        <f>'Coupes Nationales'!$D$2</f>
        <v/>
      </c>
      <c r="BJ16" s="31">
        <f>IFERROR(IF(L20=0,VLOOKUP(B6&amp;B11,'LISTE JOUEURS'!$P:$U,6,0),VLOOKUP(N6&amp;P10,'LISTE JOUEURS'!$P:$U,6,0)),0)</f>
        <v>0</v>
      </c>
      <c r="BK16" t="e">
        <f>+_xlfn.XLOOKUP(BJ16,'LISTE JOUEURS'!$U:$U,'LISTE JOUEURS'!$Q:$Q)&amp;" "&amp;_xlfn.XLOOKUP(BJ16,'LISTE JOUEURS'!$U:$U,'LISTE JOUEURS'!$R:$R)</f>
        <v>#N/A</v>
      </c>
    </row>
    <row r="17" spans="1:63" ht="25" customHeight="1" x14ac:dyDescent="0.2">
      <c r="A17" s="323"/>
      <c r="B17" s="324"/>
      <c r="C17" s="324"/>
      <c r="D17" s="324"/>
      <c r="E17" s="324"/>
      <c r="F17" s="293" t="str">
        <f>C10</f>
        <v xml:space="preserve"> </v>
      </c>
      <c r="G17" s="292"/>
      <c r="H17" s="292"/>
      <c r="I17" s="292"/>
      <c r="J17" s="292"/>
      <c r="K17" s="292"/>
      <c r="L17" s="365" t="str">
        <f>IF(ISNUMBER(A17),IF(OR(COUNTIF(A17:E17,"&gt;=0")&gt;3,COUNTIF(A17:E17,"&lt;0")&gt;3),"XXX",IF((COUNTIF(A17:E17,"&gt;=0")-COUNTIF(A17:E17,"&lt;0"))&lt;0,0,1)),IF(OR(RIGHT(F17,4)="W.O.",A17=-88,A17=-99),0,IF(OR(RIGHT(O17,4)="W.O.",A17=99,A17=88),1,"")))</f>
        <v/>
      </c>
      <c r="M17" s="326" t="s">
        <v>8</v>
      </c>
      <c r="N17" s="365" t="str">
        <f>IF(AND(ISNUMBER(A17),ISNUMBER(L17)),1-L17,IF(O17="Forfait W.O.",0,IF(F17="Forfait W.O.",1,"")))</f>
        <v/>
      </c>
      <c r="O17" s="293" t="str">
        <f>+Q10</f>
        <v xml:space="preserve"> </v>
      </c>
      <c r="P17" s="292"/>
      <c r="Q17" s="292"/>
      <c r="R17" s="292"/>
      <c r="S17" s="292"/>
      <c r="T17" s="292"/>
      <c r="U17" s="327" t="str">
        <f>IF(OR(COUNTIF(A17:E17,"&gt;=0")&gt;3,COUNTIF(A17:E17,"&lt;0")&gt;3),"Sets mal notés. Refaire la saisie svp",IF(ABS(A17)=99,"Abandon avant le début de la partie",IF(ABS(A17)=88,"Abandon en cours de partie"," ")))</f>
        <v xml:space="preserve"> </v>
      </c>
      <c r="V17" s="293"/>
      <c r="W17" s="293"/>
      <c r="X17" s="293"/>
      <c r="Y17" s="293"/>
      <c r="Z17" s="293"/>
      <c r="AA17" s="296"/>
      <c r="AI17">
        <f t="shared" ref="AI17:AM21" si="0">IF(A17&gt;0,1,IF(A17&lt;0,-1,0))</f>
        <v>0</v>
      </c>
      <c r="AJ17">
        <f t="shared" si="0"/>
        <v>0</v>
      </c>
      <c r="AK17">
        <f t="shared" si="0"/>
        <v>0</v>
      </c>
      <c r="AL17">
        <f t="shared" si="0"/>
        <v>0</v>
      </c>
      <c r="AM17">
        <f t="shared" si="0"/>
        <v>0</v>
      </c>
      <c r="AN17" s="3">
        <f>IF(AND(A17&gt;0,A17&lt;10),11,IF(AND(A17&gt;0,A17&gt;9),A17+2,IF(AND(A17&lt;0,A17&gt;-10),-11,IF(AND(A17&lt;0,A17&lt;-9),A17-2,0))))</f>
        <v>0</v>
      </c>
      <c r="AO17" s="3">
        <f t="shared" ref="AO17:AR21" si="1">IF(AND(B17&gt;0,B17&lt;10),11,IF(AND(B17&gt;0,B17&gt;9),B17+2,IF(AND(B17&lt;0,B17&gt;-10),-11,IF(AND(B17&lt;0,B17&lt;-9),B17-2,0))))</f>
        <v>0</v>
      </c>
      <c r="AP17" s="3">
        <f t="shared" si="1"/>
        <v>0</v>
      </c>
      <c r="AQ17" s="3">
        <f t="shared" si="1"/>
        <v>0</v>
      </c>
      <c r="AR17" s="3">
        <f t="shared" si="1"/>
        <v>0</v>
      </c>
      <c r="AS17" s="202">
        <f>-A17</f>
        <v>0</v>
      </c>
      <c r="AT17" s="202">
        <f t="shared" ref="AT17:AW21" si="2">-B17</f>
        <v>0</v>
      </c>
      <c r="AU17" s="202">
        <f t="shared" si="2"/>
        <v>0</v>
      </c>
      <c r="AV17" s="202">
        <f t="shared" si="2"/>
        <v>0</v>
      </c>
      <c r="AW17" s="202">
        <f t="shared" si="2"/>
        <v>0</v>
      </c>
      <c r="AX17"/>
      <c r="BH17" s="29" t="s">
        <v>32</v>
      </c>
      <c r="BI17" s="30" t="str">
        <f>'Coupes Nationales'!$D$2</f>
        <v/>
      </c>
      <c r="BJ17" s="31">
        <f>IFERROR(IF(L21=1,VLOOKUP(B6&amp;B10,'LISTE JOUEURS'!$P:$U,6,0),VLOOKUP(N6&amp;P11,'LISTE JOUEURS'!$P:$U,6,0)),0)</f>
        <v>0</v>
      </c>
      <c r="BK17" t="e">
        <f>+_xlfn.XLOOKUP(BJ17,'LISTE JOUEURS'!$U:$U,'LISTE JOUEURS'!$Q:$Q)&amp;" "&amp;_xlfn.XLOOKUP(BJ17,'LISTE JOUEURS'!$U:$U,'LISTE JOUEURS'!$R:$R)</f>
        <v>#N/A</v>
      </c>
    </row>
    <row r="18" spans="1:63" ht="17" thickBot="1" x14ac:dyDescent="0.25">
      <c r="A18" s="328"/>
      <c r="B18" s="329"/>
      <c r="C18" s="329"/>
      <c r="D18" s="329"/>
      <c r="E18" s="330"/>
      <c r="F18" s="302" t="str">
        <f>C11</f>
        <v xml:space="preserve"> </v>
      </c>
      <c r="G18" s="302"/>
      <c r="H18" s="302"/>
      <c r="I18" s="302"/>
      <c r="J18" s="302"/>
      <c r="K18" s="302"/>
      <c r="L18" s="366" t="str">
        <f>IF(ISNUMBER(A18),IF(OR(COUNTIF(A18:E18,"&gt;=0")&gt;3,COUNTIF(A18:E18,"&lt;0")&gt;3),"XXX",IF((COUNTIF(A18:E18,"&gt;=0")-COUNTIF(A18:E18,"&lt;0"))&lt;0,0,1)),IF(OR(RIGHT(F18,4)="W.O.",A18=-88,A18=-99),0,IF(OR(RIGHT(O18,4)="W.O.",A18=99,A18=88),1,"")))</f>
        <v/>
      </c>
      <c r="M18" s="332" t="s">
        <v>9</v>
      </c>
      <c r="N18" s="366" t="str">
        <f>IF(AND(ISNUMBER(A18),ISNUMBER(L18)),1-L18,IF(O18="Forfait W.O.",0,IF(F18="Forfait W.O.",1,"")))</f>
        <v/>
      </c>
      <c r="O18" s="302" t="str">
        <f>+Q11</f>
        <v xml:space="preserve"> </v>
      </c>
      <c r="P18" s="299"/>
      <c r="Q18" s="299"/>
      <c r="R18" s="299"/>
      <c r="S18" s="299"/>
      <c r="T18" s="299"/>
      <c r="U18" s="333" t="str">
        <f>IF(OR(COUNTIF(A18:E18,"&gt;=0")&gt;3,COUNTIF(A18:E18,"&lt;0")&gt;3),"Sets mal notés. Refaire la saisie svp",IF(ABS(A18)=99,"Abandon avant le début de la partie",IF(ABS(A18)=88,"Abandon en cours de partie"," ")))</f>
        <v xml:space="preserve"> </v>
      </c>
      <c r="V18" s="299"/>
      <c r="W18" s="302"/>
      <c r="X18" s="302"/>
      <c r="Y18" s="302"/>
      <c r="Z18" s="302"/>
      <c r="AA18" s="303"/>
      <c r="AC18" s="173" t="s">
        <v>25</v>
      </c>
      <c r="AD18" s="173" t="s">
        <v>26</v>
      </c>
      <c r="AE18" s="173" t="s">
        <v>370</v>
      </c>
      <c r="AF18" s="173" t="s">
        <v>489</v>
      </c>
      <c r="AI18">
        <f t="shared" si="0"/>
        <v>0</v>
      </c>
      <c r="AJ18">
        <f t="shared" si="0"/>
        <v>0</v>
      </c>
      <c r="AK18">
        <f t="shared" si="0"/>
        <v>0</v>
      </c>
      <c r="AL18">
        <f t="shared" si="0"/>
        <v>0</v>
      </c>
      <c r="AM18">
        <f t="shared" si="0"/>
        <v>0</v>
      </c>
      <c r="AN18" s="3">
        <f t="shared" ref="AN18:AN21" si="3">IF(AND(A18&gt;0,A18&lt;10),11,IF(AND(A18&gt;0,A18&gt;9),A18+2,IF(AND(A18&lt;0,A18&gt;-10),-11,IF(AND(A18&lt;0,A18&lt;-9),A18-2,0))))</f>
        <v>0</v>
      </c>
      <c r="AO18" s="3">
        <f t="shared" si="1"/>
        <v>0</v>
      </c>
      <c r="AP18" s="3">
        <f t="shared" si="1"/>
        <v>0</v>
      </c>
      <c r="AQ18" s="3">
        <f t="shared" si="1"/>
        <v>0</v>
      </c>
      <c r="AR18" s="3">
        <f t="shared" si="1"/>
        <v>0</v>
      </c>
      <c r="AS18" s="202">
        <f t="shared" ref="AS18:AS21" si="4">-A18</f>
        <v>0</v>
      </c>
      <c r="AT18" s="202">
        <f t="shared" si="2"/>
        <v>0</v>
      </c>
      <c r="AU18" s="202">
        <f t="shared" si="2"/>
        <v>0</v>
      </c>
      <c r="AV18" s="202">
        <f t="shared" si="2"/>
        <v>0</v>
      </c>
      <c r="AW18" s="202">
        <f t="shared" si="2"/>
        <v>0</v>
      </c>
      <c r="AX18"/>
      <c r="BH18" s="32" t="s">
        <v>33</v>
      </c>
      <c r="BI18" s="33" t="str">
        <f>'Coupes Nationales'!$D$2</f>
        <v/>
      </c>
      <c r="BJ18" s="34">
        <f>IFERROR(IF(L21=0,VLOOKUP(B6&amp;B10,'LISTE JOUEURS'!$P:$U,6,0),VLOOKUP(N6&amp;P11,'LISTE JOUEURS'!$P:$U,6,0)),0)</f>
        <v>0</v>
      </c>
      <c r="BK18" t="e">
        <f>+_xlfn.XLOOKUP(BJ18,'LISTE JOUEURS'!$U:$U,'LISTE JOUEURS'!$Q:$Q)&amp;" "&amp;_xlfn.XLOOKUP(BJ18,'LISTE JOUEURS'!$U:$U,'LISTE JOUEURS'!$R:$R)</f>
        <v>#N/A</v>
      </c>
    </row>
    <row r="19" spans="1:63" x14ac:dyDescent="0.2">
      <c r="A19" s="328"/>
      <c r="B19" s="329"/>
      <c r="C19" s="329"/>
      <c r="D19" s="329"/>
      <c r="E19" s="330"/>
      <c r="F19" s="302" t="str">
        <f>IF(OR(B12="",B13=""),"",IF(OR(F17="Forfait W.O.",F18="Forfait W.O."),B6&amp;" "&amp;F6&amp;" W.O.",VLOOKUP($B$6&amp;$B12,'LISTE JOUEURS'!$P:$S,2,0)&amp;" et "&amp;VLOOKUP($B$6&amp;$B13,'LISTE JOUEURS'!$P:$S,2,0)))</f>
        <v/>
      </c>
      <c r="G19" s="302"/>
      <c r="H19" s="302"/>
      <c r="I19" s="302"/>
      <c r="J19" s="302"/>
      <c r="K19" s="302"/>
      <c r="L19" s="366" t="str">
        <f>IF(ISNUMBER(A19),IF(OR(COUNTIF(A19:E19,"&gt;=0")&gt;3,COUNTIF(A19:E19,"&lt;0")&gt;3),"XXX",IF((COUNTIF(A19:E19,"&gt;=0")-COUNTIF(A19:E19,"&lt;0"))&lt;0,0,1)),IF(OR(RIGHT(F19,4)="W.O.",A19=-88,A19=-99),0,IF(OR(RIGHT(O19,4)="W.O.",A19=99,A19=88),1,"")))</f>
        <v/>
      </c>
      <c r="M19" s="332" t="s">
        <v>464</v>
      </c>
      <c r="N19" s="366" t="str">
        <f>IF(AND(ISNUMBER(A19),ISNUMBER(L19)),1-L19,IF(O19="Forfait W.O.",0,IF(F19="Forfait W.O.",1,"")))</f>
        <v/>
      </c>
      <c r="O19" s="302" t="str">
        <f>IF(OR(P12="",P13=""),"",IF(OR(O17="Forfait W.O.",O18="Forfait W.O."),N6&amp;" "&amp;R6&amp;" W.O.",VLOOKUP($N$6&amp;$P12,'LISTE JOUEURS'!$P:$S,2,0)&amp;" et "&amp;VLOOKUP($N$6&amp;$P13,'LISTE JOUEURS'!$P:$S,2,0)))</f>
        <v/>
      </c>
      <c r="P19" s="299"/>
      <c r="Q19" s="299"/>
      <c r="R19" s="299"/>
      <c r="S19" s="299"/>
      <c r="T19" s="299"/>
      <c r="U19" s="333" t="str">
        <f>IF(OR(COUNTIF(A19:E19,"&gt;=0")&gt;3,COUNTIF(A19:E19,"&lt;0")&gt;3),"Sets mal notés. Refaire la saisie svp",IF(ABS(A19)=99,"Abandon avant le début de la partie",IF(ABS(A19)=88,"Abandon en cours de partie"," ")))</f>
        <v xml:space="preserve"> </v>
      </c>
      <c r="V19" s="302"/>
      <c r="W19" s="302"/>
      <c r="X19" s="302"/>
      <c r="Y19" s="302"/>
      <c r="Z19" s="302"/>
      <c r="AA19" s="303"/>
      <c r="AI19">
        <f t="shared" si="0"/>
        <v>0</v>
      </c>
      <c r="AJ19">
        <f t="shared" si="0"/>
        <v>0</v>
      </c>
      <c r="AK19">
        <f t="shared" si="0"/>
        <v>0</v>
      </c>
      <c r="AL19">
        <f t="shared" si="0"/>
        <v>0</v>
      </c>
      <c r="AM19">
        <f t="shared" si="0"/>
        <v>0</v>
      </c>
      <c r="AN19" s="3">
        <f t="shared" si="3"/>
        <v>0</v>
      </c>
      <c r="AO19" s="3">
        <f t="shared" si="1"/>
        <v>0</v>
      </c>
      <c r="AP19" s="3">
        <f t="shared" si="1"/>
        <v>0</v>
      </c>
      <c r="AQ19" s="3">
        <f t="shared" si="1"/>
        <v>0</v>
      </c>
      <c r="AR19" s="3">
        <f t="shared" si="1"/>
        <v>0</v>
      </c>
      <c r="AS19" s="202">
        <f t="shared" si="4"/>
        <v>0</v>
      </c>
      <c r="AT19" s="202">
        <f t="shared" si="2"/>
        <v>0</v>
      </c>
      <c r="AU19" s="202">
        <f t="shared" si="2"/>
        <v>0</v>
      </c>
      <c r="AV19" s="202">
        <f t="shared" si="2"/>
        <v>0</v>
      </c>
      <c r="AW19" s="202">
        <f t="shared" si="2"/>
        <v>0</v>
      </c>
      <c r="AX19"/>
    </row>
    <row r="20" spans="1:63" x14ac:dyDescent="0.2">
      <c r="A20" s="328"/>
      <c r="B20" s="329"/>
      <c r="C20" s="329"/>
      <c r="D20" s="329"/>
      <c r="E20" s="330"/>
      <c r="F20" s="302" t="str">
        <f>C11</f>
        <v xml:space="preserve"> </v>
      </c>
      <c r="G20" s="302"/>
      <c r="H20" s="302"/>
      <c r="I20" s="302"/>
      <c r="J20" s="302"/>
      <c r="K20" s="302"/>
      <c r="L20" s="366" t="str">
        <f>IF(ISNUMBER(A20),IF(OR(COUNTIF(A20:E20,"&gt;=0")&gt;3,COUNTIF(A20:E20,"&lt;0")&gt;3),"XXX",IF((COUNTIF(A20:E20,"&gt;=0")-COUNTIF(A20:E20,"&lt;0"))&lt;0,0,1)),IF(OR(RIGHT(F20,4)="W.O.",A20=-88,A20=-99),0,IF(OR(RIGHT(O20,4)="W.O.",A20=99,A20=88),1,"")))</f>
        <v/>
      </c>
      <c r="M20" s="332" t="s">
        <v>10</v>
      </c>
      <c r="N20" s="366" t="str">
        <f>IF(AND(ISNUMBER(A20),ISNUMBER(L20)),1-L20,IF(O20="Forfait W.O.",0,IF(F20="Forfait W.O.",1,"")))</f>
        <v/>
      </c>
      <c r="O20" s="302" t="str">
        <f>Q10</f>
        <v xml:space="preserve"> </v>
      </c>
      <c r="P20" s="299"/>
      <c r="Q20" s="299"/>
      <c r="R20" s="299"/>
      <c r="S20" s="299"/>
      <c r="T20" s="299"/>
      <c r="U20" s="333" t="str">
        <f>IF(OR(COUNTIF(A20:E20,"&gt;=0")&gt;3,COUNTIF(A20:E20,"&lt;0")&gt;3),"Sets mal notés. Refaire la saisie svp",IF(ABS(A20)=99,"Abandon avant le début de la partie",IF(ABS(A20)=88,"Abandon en cours de partie"," ")))</f>
        <v xml:space="preserve"> </v>
      </c>
      <c r="V20" s="302"/>
      <c r="W20" s="302"/>
      <c r="X20" s="302"/>
      <c r="Y20" s="302"/>
      <c r="Z20" s="302"/>
      <c r="AA20" s="303"/>
      <c r="AI20">
        <f t="shared" si="0"/>
        <v>0</v>
      </c>
      <c r="AJ20">
        <f t="shared" si="0"/>
        <v>0</v>
      </c>
      <c r="AK20">
        <f t="shared" si="0"/>
        <v>0</v>
      </c>
      <c r="AL20">
        <f t="shared" si="0"/>
        <v>0</v>
      </c>
      <c r="AM20">
        <f t="shared" si="0"/>
        <v>0</v>
      </c>
      <c r="AN20" s="3">
        <f t="shared" si="3"/>
        <v>0</v>
      </c>
      <c r="AO20" s="3">
        <f t="shared" si="1"/>
        <v>0</v>
      </c>
      <c r="AP20" s="3">
        <f t="shared" si="1"/>
        <v>0</v>
      </c>
      <c r="AQ20" s="3">
        <f t="shared" si="1"/>
        <v>0</v>
      </c>
      <c r="AR20" s="3">
        <f t="shared" si="1"/>
        <v>0</v>
      </c>
      <c r="AS20" s="202">
        <f t="shared" si="4"/>
        <v>0</v>
      </c>
      <c r="AT20" s="202">
        <f t="shared" si="2"/>
        <v>0</v>
      </c>
      <c r="AU20" s="202">
        <f t="shared" si="2"/>
        <v>0</v>
      </c>
      <c r="AV20" s="202">
        <f t="shared" si="2"/>
        <v>0</v>
      </c>
      <c r="AW20" s="202">
        <f t="shared" si="2"/>
        <v>0</v>
      </c>
      <c r="AX20"/>
    </row>
    <row r="21" spans="1:63" ht="17" thickBot="1" x14ac:dyDescent="0.25">
      <c r="A21" s="334"/>
      <c r="B21" s="335"/>
      <c r="C21" s="335"/>
      <c r="D21" s="335"/>
      <c r="E21" s="335"/>
      <c r="F21" s="309" t="str">
        <f>C10</f>
        <v xml:space="preserve"> </v>
      </c>
      <c r="G21" s="306"/>
      <c r="H21" s="306"/>
      <c r="I21" s="306"/>
      <c r="J21" s="306"/>
      <c r="K21" s="306"/>
      <c r="L21" s="367" t="str">
        <f>IF(ISNUMBER(A21),IF(OR(COUNTIF(A21:E21,"&gt;=0")&gt;3,COUNTIF(A21:E21,"&lt;0")&gt;3),"XXX",IF((COUNTIF(A21:E21,"&gt;=0")-COUNTIF(A21:E21,"&lt;0"))&lt;0,0,1)),IF(OR(RIGHT(F21,4)="W.O.",A21=-88,A21=-99),0,IF(OR(RIGHT(O21,4)="W.O.",A21=99,A21=88),1,"")))</f>
        <v/>
      </c>
      <c r="M21" s="337" t="s">
        <v>11</v>
      </c>
      <c r="N21" s="367" t="str">
        <f>IF(AND(ISNUMBER(A21),ISNUMBER(L21)),1-L21,IF(O21="Forfait W.O.",0,IF(F21="Forfait W.O.",1,"")))</f>
        <v/>
      </c>
      <c r="O21" s="309" t="str">
        <f>Q11</f>
        <v xml:space="preserve"> </v>
      </c>
      <c r="P21" s="309"/>
      <c r="Q21" s="309"/>
      <c r="R21" s="309"/>
      <c r="S21" s="309"/>
      <c r="T21" s="309"/>
      <c r="U21" s="338" t="str">
        <f>IF(OR(COUNTIF(A21:E21,"&gt;=0")&gt;3,COUNTIF(A21:E21,"&lt;0")&gt;3),"Sets mal notés. Refaire la saisie svp",IF(ABS(A21)=99,"Abandon avant le début de la partie",IF(ABS(A21)=88,"Abandon en cours de partie"," ")))</f>
        <v xml:space="preserve"> </v>
      </c>
      <c r="V21" s="306"/>
      <c r="W21" s="306"/>
      <c r="X21" s="306"/>
      <c r="Y21" s="306"/>
      <c r="Z21" s="306"/>
      <c r="AA21" s="310"/>
      <c r="AI21">
        <f t="shared" si="0"/>
        <v>0</v>
      </c>
      <c r="AJ21">
        <f t="shared" si="0"/>
        <v>0</v>
      </c>
      <c r="AK21">
        <f t="shared" si="0"/>
        <v>0</v>
      </c>
      <c r="AL21">
        <f t="shared" si="0"/>
        <v>0</v>
      </c>
      <c r="AM21">
        <f t="shared" si="0"/>
        <v>0</v>
      </c>
      <c r="AN21" s="3">
        <f t="shared" si="3"/>
        <v>0</v>
      </c>
      <c r="AO21" s="3">
        <f t="shared" si="1"/>
        <v>0</v>
      </c>
      <c r="AP21" s="3">
        <f t="shared" si="1"/>
        <v>0</v>
      </c>
      <c r="AQ21" s="3">
        <f t="shared" si="1"/>
        <v>0</v>
      </c>
      <c r="AR21" s="3">
        <f t="shared" si="1"/>
        <v>0</v>
      </c>
      <c r="AS21" s="202">
        <f t="shared" si="4"/>
        <v>0</v>
      </c>
      <c r="AT21" s="202">
        <f t="shared" si="2"/>
        <v>0</v>
      </c>
      <c r="AU21" s="202">
        <f t="shared" si="2"/>
        <v>0</v>
      </c>
      <c r="AV21" s="202">
        <f t="shared" si="2"/>
        <v>0</v>
      </c>
      <c r="AW21" s="202">
        <f t="shared" si="2"/>
        <v>0</v>
      </c>
      <c r="AX21"/>
      <c r="BE21" t="s">
        <v>380</v>
      </c>
      <c r="BF21" t="s">
        <v>398</v>
      </c>
      <c r="BH21" t="s">
        <v>141</v>
      </c>
    </row>
    <row r="22" spans="1:63" ht="17" thickTop="1" x14ac:dyDescent="0.2">
      <c r="AL22" s="3"/>
      <c r="AM22" s="3"/>
      <c r="AX22"/>
      <c r="BF22" t="s">
        <v>402</v>
      </c>
      <c r="BH22" t="s">
        <v>142</v>
      </c>
    </row>
    <row r="23" spans="1:63" ht="19" x14ac:dyDescent="0.25">
      <c r="I23" s="113" t="s">
        <v>465</v>
      </c>
      <c r="J23" s="103"/>
      <c r="K23" s="103"/>
      <c r="L23" s="104">
        <f>SUM(L17:L21)</f>
        <v>0</v>
      </c>
      <c r="M23" s="105"/>
      <c r="N23" s="106">
        <f>SUM(N17:N21)</f>
        <v>0</v>
      </c>
      <c r="AL23" s="3"/>
      <c r="AM23" s="3"/>
      <c r="AX23"/>
      <c r="BF23" t="s">
        <v>382</v>
      </c>
      <c r="BH23" t="s">
        <v>131</v>
      </c>
    </row>
    <row r="24" spans="1:63" x14ac:dyDescent="0.2">
      <c r="AL24" s="3"/>
      <c r="AM24" s="3"/>
      <c r="AX24"/>
      <c r="BF24" t="s">
        <v>383</v>
      </c>
      <c r="BH24" t="s">
        <v>128</v>
      </c>
    </row>
    <row r="25" spans="1:63" x14ac:dyDescent="0.2">
      <c r="AL25" s="3"/>
      <c r="AM25" s="3"/>
      <c r="AU25"/>
      <c r="AV25"/>
      <c r="AW25"/>
      <c r="AX25"/>
      <c r="BH25" t="s">
        <v>132</v>
      </c>
    </row>
    <row r="26" spans="1:63" ht="17" thickBot="1" x14ac:dyDescent="0.25">
      <c r="AN26"/>
      <c r="AO26"/>
      <c r="AP26"/>
      <c r="AQ26"/>
      <c r="AR26"/>
      <c r="AS26"/>
      <c r="AT26"/>
      <c r="AU26"/>
      <c r="AV26"/>
      <c r="AW26"/>
      <c r="AX26"/>
      <c r="BH26" t="s">
        <v>133</v>
      </c>
    </row>
    <row r="27" spans="1:63" ht="20" thickTop="1" x14ac:dyDescent="0.25">
      <c r="A27" s="547" t="s">
        <v>397</v>
      </c>
      <c r="B27" s="518"/>
      <c r="C27" s="518"/>
      <c r="D27" s="518"/>
      <c r="E27" s="518"/>
      <c r="F27" s="518"/>
      <c r="G27" s="518"/>
      <c r="H27" s="518"/>
      <c r="I27" s="518"/>
      <c r="J27" s="495"/>
      <c r="K27" s="495"/>
      <c r="L27" s="495"/>
      <c r="M27" s="495"/>
      <c r="N27" s="495"/>
      <c r="O27" s="495"/>
      <c r="P27" s="495"/>
      <c r="Q27" s="495"/>
      <c r="R27" s="495"/>
      <c r="S27" s="495"/>
      <c r="T27" s="495"/>
      <c r="U27" s="495"/>
      <c r="V27" s="495"/>
      <c r="W27" s="495"/>
      <c r="X27" s="495"/>
      <c r="Y27" s="495"/>
      <c r="Z27" s="495"/>
      <c r="AA27" s="496"/>
      <c r="AS27" s="202"/>
      <c r="AT27" s="202"/>
      <c r="AU27" s="202"/>
      <c r="AV27" s="202"/>
      <c r="AW27" s="202"/>
      <c r="AX27"/>
      <c r="BH27" t="s">
        <v>144</v>
      </c>
    </row>
    <row r="28" spans="1:63" ht="19" x14ac:dyDescent="0.25">
      <c r="A28" s="375" t="str">
        <f>IF((L23 )&gt;(N23),B6&amp;" "&amp;F6,IF((L23)=(N23),B6&amp;" "&amp;F6,N6&amp;" "&amp;R6))</f>
        <v xml:space="preserve"> </v>
      </c>
      <c r="B28" s="368"/>
      <c r="C28" s="368"/>
      <c r="D28" s="368"/>
      <c r="E28" s="376" t="str">
        <f>IF(A29=H29,"à égalité avec ","BAT")</f>
        <v xml:space="preserve">à égalité avec </v>
      </c>
      <c r="F28" s="368"/>
      <c r="G28" s="368"/>
      <c r="H28" s="377" t="str">
        <f>IF((L23)&lt;(N23),B6&amp;" "&amp;F6,IF((L23)=(N23),N6&amp;" "&amp;R6,N6&amp;" "&amp;R6))</f>
        <v xml:space="preserve"> </v>
      </c>
      <c r="I28" s="378"/>
      <c r="J28" s="81" t="str">
        <f>"Cap. "&amp;O16</f>
        <v xml:space="preserve">Cap.  </v>
      </c>
      <c r="K28" s="84"/>
      <c r="L28" s="368"/>
      <c r="M28" s="368"/>
      <c r="N28" s="497"/>
      <c r="O28" s="498"/>
      <c r="P28" s="498"/>
      <c r="Q28" s="498"/>
      <c r="R28" s="499"/>
      <c r="S28" s="83" t="s">
        <v>127</v>
      </c>
      <c r="T28" s="85"/>
      <c r="U28" s="84"/>
      <c r="V28" s="84"/>
      <c r="W28" s="84"/>
      <c r="X28" s="84"/>
      <c r="Y28" s="84"/>
      <c r="Z28" s="368"/>
      <c r="AA28" s="381"/>
      <c r="AS28" s="202"/>
      <c r="AT28" s="202"/>
      <c r="AU28" s="202"/>
      <c r="AV28" s="202"/>
      <c r="AW28" s="202"/>
      <c r="AX28"/>
      <c r="BE28" t="s">
        <v>384</v>
      </c>
      <c r="BF28">
        <v>1</v>
      </c>
      <c r="BH28" t="s">
        <v>590</v>
      </c>
    </row>
    <row r="29" spans="1:63" ht="19" x14ac:dyDescent="0.25">
      <c r="A29" s="80" t="str">
        <f>IF((L23)&gt;(N23),(L23)&amp;" points",(N23)&amp;" points")</f>
        <v>0 points</v>
      </c>
      <c r="B29" s="27"/>
      <c r="C29" s="27"/>
      <c r="D29" s="27"/>
      <c r="E29" s="27"/>
      <c r="H29" s="198" t="str">
        <f>IF((L23 )&gt;(N23),(N23)&amp;" points",(L23)&amp;" points")</f>
        <v>0 points</v>
      </c>
      <c r="I29" s="69"/>
      <c r="J29" s="201"/>
      <c r="S29" s="450"/>
      <c r="T29" s="436"/>
      <c r="U29" s="436"/>
      <c r="V29" s="436"/>
      <c r="W29" s="436"/>
      <c r="Z29" s="27"/>
      <c r="AA29" s="107"/>
      <c r="AS29" s="202"/>
      <c r="AT29" s="202"/>
      <c r="AU29" s="202"/>
      <c r="AV29" s="202"/>
      <c r="AW29" s="202"/>
      <c r="AX29"/>
      <c r="BF29">
        <v>2</v>
      </c>
      <c r="BH29" t="s">
        <v>146</v>
      </c>
    </row>
    <row r="30" spans="1:63" ht="19" x14ac:dyDescent="0.25">
      <c r="A30" s="461" t="str">
        <f>VLOOKUP(A28,$AJ$33:$AL$34,2,0)&amp;" Sets à "&amp;VLOOKUP(H28,$AJ$33:$AL$34,2,0)</f>
        <v>0 Sets à 0</v>
      </c>
      <c r="B30" s="462"/>
      <c r="C30" s="462"/>
      <c r="D30" s="462"/>
      <c r="E30" s="462"/>
      <c r="F30" s="462"/>
      <c r="G30" s="462"/>
      <c r="H30" s="462"/>
      <c r="I30" s="462"/>
      <c r="J30" s="201" t="str">
        <f>"Cap. "&amp;F16</f>
        <v xml:space="preserve">Cap.  </v>
      </c>
      <c r="N30" s="449"/>
      <c r="O30" s="436"/>
      <c r="P30" s="436"/>
      <c r="Q30" s="436"/>
      <c r="R30" s="500"/>
      <c r="Z30" s="27"/>
      <c r="AA30" s="107"/>
      <c r="AS30" s="202"/>
      <c r="AT30" s="202"/>
      <c r="AU30" s="202"/>
      <c r="AV30" s="202"/>
      <c r="AW30" s="202"/>
      <c r="BF30">
        <v>3</v>
      </c>
      <c r="BH30" t="s">
        <v>134</v>
      </c>
    </row>
    <row r="31" spans="1:63" ht="20" thickBot="1" x14ac:dyDescent="0.3">
      <c r="A31" s="463" t="str">
        <f>ROUND(VLOOKUP(A28,$AJ$33:$AL$34,3,0),0)&amp;" points à "&amp;ROUND(VLOOKUP(H28,$AJ$33:$AL$34,3,0),0)</f>
        <v>0 points à 0</v>
      </c>
      <c r="B31" s="464"/>
      <c r="C31" s="464"/>
      <c r="D31" s="464"/>
      <c r="E31" s="464"/>
      <c r="F31" s="464"/>
      <c r="G31" s="464"/>
      <c r="H31" s="464"/>
      <c r="I31" s="464"/>
      <c r="J31" s="82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44"/>
      <c r="AA31" s="108"/>
      <c r="AS31" s="202"/>
      <c r="AT31" s="202"/>
      <c r="AU31" s="202"/>
      <c r="AV31" s="202"/>
      <c r="AW31" s="202"/>
      <c r="BF31">
        <v>4</v>
      </c>
      <c r="BH31" t="s">
        <v>495</v>
      </c>
    </row>
    <row r="32" spans="1:63" ht="17" thickTop="1" x14ac:dyDescent="0.2">
      <c r="A32" s="27"/>
      <c r="B32" s="27"/>
      <c r="C32" s="27"/>
      <c r="D32" s="27"/>
      <c r="P32" s="27"/>
      <c r="Q32" s="27"/>
      <c r="R32" s="27"/>
      <c r="S32" s="27"/>
      <c r="T32" s="27"/>
      <c r="V32" s="27"/>
      <c r="W32" s="27"/>
      <c r="AU32"/>
      <c r="AV32"/>
      <c r="AW32"/>
      <c r="BF32">
        <v>5</v>
      </c>
      <c r="BH32" t="s">
        <v>147</v>
      </c>
    </row>
    <row r="33" spans="1:60" x14ac:dyDescent="0.2">
      <c r="A33" s="45" t="s">
        <v>478</v>
      </c>
      <c r="B33" s="45"/>
      <c r="C33" s="45"/>
      <c r="D33" s="45"/>
      <c r="E33" s="45"/>
      <c r="F33" s="45"/>
      <c r="G33" s="45"/>
      <c r="O33" s="166" t="s">
        <v>440</v>
      </c>
      <c r="S33" s="93"/>
      <c r="AB33" s="27"/>
      <c r="AJ33" t="str">
        <f>B6&amp;" "&amp;F6</f>
        <v xml:space="preserve"> </v>
      </c>
      <c r="AK33">
        <f>COUNTIF(AI17:AM21,1)</f>
        <v>0</v>
      </c>
      <c r="AL33">
        <f>SUMIF(AN17:AW21,"&gt;0",AN17:AW21)</f>
        <v>0</v>
      </c>
      <c r="BF33">
        <v>6</v>
      </c>
      <c r="BH33" t="s">
        <v>139</v>
      </c>
    </row>
    <row r="34" spans="1:60" ht="21" customHeight="1" x14ac:dyDescent="0.25">
      <c r="A34" s="45" t="s">
        <v>244</v>
      </c>
      <c r="F34" s="174" t="str">
        <f>IFERROR(VLOOKUP(N6,'LISTING CLUB'!A:C,3,0),"")</f>
        <v/>
      </c>
      <c r="K34" s="9" t="s">
        <v>401</v>
      </c>
      <c r="M34" s="27"/>
      <c r="N34" s="27"/>
      <c r="O34" s="123" t="str">
        <f>"CN-J"&amp;IFERROR(VLOOKUP(R3,BG4:BG10,3,0),"")&amp;"-"&amp;G3&amp;"-"&amp;F16&amp;"-"&amp;O16</f>
        <v xml:space="preserve">CN-J-- - </v>
      </c>
      <c r="AJ34" t="str">
        <f>N6&amp;" "&amp;R6</f>
        <v xml:space="preserve"> </v>
      </c>
      <c r="AK34">
        <f>COUNTIF(AI17:AM21,-1)</f>
        <v>0</v>
      </c>
      <c r="AL34">
        <f>-SUMIF(AN17:AW21,"&lt;0",AN17:AW21)</f>
        <v>0</v>
      </c>
      <c r="BH34" t="s">
        <v>135</v>
      </c>
    </row>
    <row r="35" spans="1:60" ht="21" x14ac:dyDescent="0.25">
      <c r="A35" s="452" t="s">
        <v>378</v>
      </c>
      <c r="B35" s="453"/>
      <c r="C35" s="453"/>
      <c r="D35" s="453"/>
      <c r="E35" s="453"/>
      <c r="F35" s="453"/>
      <c r="G35" s="453"/>
      <c r="H35" s="453"/>
      <c r="I35" s="453"/>
      <c r="J35" s="453"/>
      <c r="K35" s="453"/>
      <c r="L35" s="453"/>
      <c r="M35" s="453"/>
      <c r="N35" s="453"/>
      <c r="O35" s="453"/>
      <c r="P35" s="453"/>
      <c r="Q35" s="453"/>
      <c r="R35" s="453"/>
      <c r="S35" s="453"/>
      <c r="T35" s="453"/>
      <c r="U35" s="453"/>
      <c r="V35" s="453"/>
      <c r="W35" s="453"/>
      <c r="X35" s="453"/>
      <c r="Y35" s="453"/>
      <c r="Z35" s="453"/>
      <c r="AA35" s="454"/>
      <c r="AB35" s="27"/>
      <c r="BE35" t="s">
        <v>28</v>
      </c>
      <c r="BF35" t="s">
        <v>385</v>
      </c>
      <c r="BH35" t="s">
        <v>129</v>
      </c>
    </row>
    <row r="36" spans="1:60" x14ac:dyDescent="0.2">
      <c r="C36" s="27"/>
      <c r="D36" s="27"/>
      <c r="E36" s="27"/>
      <c r="M36" s="27"/>
      <c r="BF36" t="s">
        <v>386</v>
      </c>
      <c r="BH36" t="s">
        <v>136</v>
      </c>
    </row>
    <row r="37" spans="1:60" x14ac:dyDescent="0.2">
      <c r="B37" s="117"/>
      <c r="C37" s="118"/>
      <c r="D37" s="118"/>
      <c r="E37" s="117"/>
      <c r="F37" s="117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BF37" t="s">
        <v>421</v>
      </c>
      <c r="BH37" t="s">
        <v>650</v>
      </c>
    </row>
    <row r="38" spans="1:60" x14ac:dyDescent="0.2">
      <c r="B38" s="117"/>
      <c r="C38" s="118"/>
      <c r="D38" s="118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BH38" t="s">
        <v>148</v>
      </c>
    </row>
    <row r="39" spans="1:60" x14ac:dyDescent="0.2">
      <c r="B39" s="117"/>
      <c r="C39" s="118"/>
      <c r="D39" s="118"/>
      <c r="E39" s="117"/>
      <c r="F39" s="117"/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BA39" s="3" t="s">
        <v>154</v>
      </c>
      <c r="BB39" s="3" t="str">
        <f>C10</f>
        <v xml:space="preserve"> </v>
      </c>
      <c r="BC39" s="3"/>
      <c r="BD39" s="3"/>
      <c r="BE39" s="3" t="s">
        <v>479</v>
      </c>
      <c r="BH39" t="s">
        <v>150</v>
      </c>
    </row>
    <row r="40" spans="1:60" x14ac:dyDescent="0.2">
      <c r="B40" s="117"/>
      <c r="C40" s="118"/>
      <c r="D40" s="118"/>
      <c r="E40" s="117"/>
      <c r="F40" s="117"/>
      <c r="G40" s="117"/>
      <c r="H40" s="117"/>
      <c r="I40" s="117"/>
      <c r="J40" s="117"/>
      <c r="K40" s="117"/>
      <c r="L40" s="117"/>
      <c r="M40" s="117"/>
      <c r="N40" s="117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  <c r="Z40" s="117"/>
      <c r="BA40" s="3" t="s">
        <v>154</v>
      </c>
      <c r="BB40" s="3" t="str">
        <f>C11</f>
        <v xml:space="preserve"> </v>
      </c>
      <c r="BC40" s="3"/>
      <c r="BD40" s="3"/>
      <c r="BE40" s="3" t="s">
        <v>480</v>
      </c>
      <c r="BH40" t="s">
        <v>137</v>
      </c>
    </row>
    <row r="41" spans="1:60" x14ac:dyDescent="0.2">
      <c r="B41" s="117"/>
      <c r="C41" s="119"/>
      <c r="D41" s="119"/>
      <c r="E41" s="117"/>
      <c r="F41" s="117"/>
      <c r="G41" s="117"/>
      <c r="H41" s="117"/>
      <c r="I41" s="117"/>
      <c r="J41" s="117"/>
      <c r="K41" s="117"/>
      <c r="L41" s="117"/>
      <c r="M41" s="117"/>
      <c r="N41" s="117"/>
      <c r="O41" s="117"/>
      <c r="P41" s="120"/>
      <c r="Q41" s="120"/>
      <c r="R41" s="117"/>
      <c r="S41" s="117"/>
      <c r="T41" s="117"/>
      <c r="U41" s="117"/>
      <c r="V41" s="117"/>
      <c r="W41" s="117"/>
      <c r="X41" s="117"/>
      <c r="Y41" s="117"/>
      <c r="Z41" s="117"/>
      <c r="BA41" s="3" t="s">
        <v>155</v>
      </c>
      <c r="BB41" s="3" t="str">
        <f>+Q10</f>
        <v xml:space="preserve"> </v>
      </c>
      <c r="BC41" s="3"/>
      <c r="BD41" s="3"/>
      <c r="BE41" s="3" t="s">
        <v>481</v>
      </c>
      <c r="BH41" t="s">
        <v>140</v>
      </c>
    </row>
    <row r="42" spans="1:60" x14ac:dyDescent="0.2">
      <c r="B42" s="117"/>
      <c r="C42" s="121"/>
      <c r="D42" s="117"/>
      <c r="E42" s="117"/>
      <c r="F42" s="117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117"/>
      <c r="U42" s="117"/>
      <c r="V42" s="117"/>
      <c r="W42" s="117"/>
      <c r="X42" s="117"/>
      <c r="Y42" s="117"/>
      <c r="Z42" s="117"/>
      <c r="BA42" s="3" t="s">
        <v>155</v>
      </c>
      <c r="BB42" s="3" t="str">
        <f>+Q11</f>
        <v xml:space="preserve"> </v>
      </c>
      <c r="BC42" s="3"/>
      <c r="BD42" s="3"/>
      <c r="BE42" s="3"/>
      <c r="BH42" t="s">
        <v>151</v>
      </c>
    </row>
    <row r="43" spans="1:60" x14ac:dyDescent="0.2">
      <c r="B43" s="117"/>
      <c r="C43" s="117"/>
      <c r="D43" s="117"/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117"/>
      <c r="Q43" s="117"/>
      <c r="R43" s="117"/>
      <c r="S43" s="117"/>
      <c r="T43" s="117"/>
      <c r="U43" s="117"/>
      <c r="V43" s="117"/>
      <c r="W43" s="117"/>
      <c r="X43" s="117"/>
      <c r="Y43" s="117"/>
      <c r="Z43" s="117"/>
      <c r="BA43" s="3"/>
      <c r="BH43" t="s">
        <v>972</v>
      </c>
    </row>
    <row r="44" spans="1:60" x14ac:dyDescent="0.2">
      <c r="B44" s="117"/>
      <c r="C44" s="117"/>
      <c r="D44" s="117"/>
      <c r="E44" s="117"/>
      <c r="F44" s="117"/>
      <c r="G44" s="117"/>
      <c r="H44" s="117"/>
      <c r="I44" s="117"/>
      <c r="J44" s="117"/>
      <c r="K44" s="117"/>
      <c r="L44" s="117"/>
      <c r="M44" s="117"/>
      <c r="N44" s="117"/>
      <c r="O44" s="122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BC44" s="3"/>
      <c r="BD44" s="3"/>
      <c r="BE44" s="3"/>
      <c r="BH44" t="s">
        <v>973</v>
      </c>
    </row>
    <row r="45" spans="1:60" x14ac:dyDescent="0.2">
      <c r="B45" s="117"/>
      <c r="C45" s="117"/>
      <c r="D45" s="117"/>
      <c r="E45" s="117"/>
      <c r="F45" s="117"/>
      <c r="G45" s="117"/>
      <c r="H45" s="117"/>
      <c r="I45" s="117"/>
      <c r="J45" s="117"/>
      <c r="K45" s="117"/>
      <c r="L45" s="117"/>
      <c r="M45" s="117"/>
      <c r="N45" s="117"/>
      <c r="O45" s="117"/>
      <c r="P45" s="117"/>
      <c r="Q45" s="117"/>
      <c r="R45" s="117"/>
      <c r="S45" s="117"/>
      <c r="T45" s="117"/>
      <c r="U45" s="117"/>
      <c r="V45" s="117"/>
      <c r="W45" s="117"/>
      <c r="X45" s="117"/>
      <c r="Y45" s="117"/>
      <c r="Z45" s="117"/>
      <c r="BC45" s="3"/>
      <c r="BD45" s="3"/>
      <c r="BE45" s="3"/>
      <c r="BH45" t="s">
        <v>975</v>
      </c>
    </row>
    <row r="46" spans="1:60" ht="24" x14ac:dyDescent="0.3">
      <c r="G46" s="78"/>
      <c r="H46" s="78"/>
      <c r="I46" s="78"/>
      <c r="J46" s="78"/>
      <c r="K46" s="78"/>
      <c r="L46" s="78"/>
      <c r="M46" s="78"/>
      <c r="N46" s="78"/>
      <c r="BA46" s="3"/>
      <c r="BB46" s="3"/>
      <c r="BC46" s="3"/>
      <c r="BD46" s="3"/>
      <c r="BE46" s="3"/>
      <c r="BH46" t="s">
        <v>974</v>
      </c>
    </row>
    <row r="47" spans="1:60" ht="24" x14ac:dyDescent="0.3">
      <c r="A47" s="452" t="s">
        <v>379</v>
      </c>
      <c r="B47" s="453"/>
      <c r="C47" s="453"/>
      <c r="D47" s="453"/>
      <c r="E47" s="453"/>
      <c r="F47" s="453"/>
      <c r="G47" s="453"/>
      <c r="H47" s="453"/>
      <c r="I47" s="453"/>
      <c r="J47" s="453"/>
      <c r="K47" s="453"/>
      <c r="L47" s="453"/>
      <c r="M47" s="453"/>
      <c r="N47" s="453"/>
      <c r="O47" s="453"/>
      <c r="P47" s="453"/>
      <c r="Q47" s="453"/>
      <c r="R47" s="453"/>
      <c r="S47" s="453"/>
      <c r="T47" s="453"/>
      <c r="U47" s="453"/>
      <c r="V47" s="453"/>
      <c r="W47" s="453"/>
      <c r="X47" s="453"/>
      <c r="Y47" s="453"/>
      <c r="Z47" s="453"/>
      <c r="AA47" s="454"/>
      <c r="BA47" s="3"/>
      <c r="BB47" s="3"/>
      <c r="BC47" s="3"/>
      <c r="BD47" s="3"/>
      <c r="BE47" s="3"/>
    </row>
    <row r="48" spans="1:60" x14ac:dyDescent="0.2">
      <c r="BA48" s="3"/>
    </row>
    <row r="49" spans="1:51" x14ac:dyDescent="0.2">
      <c r="B49" s="117"/>
      <c r="C49" s="118"/>
      <c r="D49" s="118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N49"/>
      <c r="AO49"/>
      <c r="AP49"/>
      <c r="AQ49"/>
      <c r="AR49"/>
      <c r="AS49"/>
      <c r="AT49"/>
      <c r="AU49"/>
      <c r="AV49"/>
      <c r="AW49"/>
      <c r="AX49"/>
      <c r="AY49"/>
    </row>
    <row r="50" spans="1:51" x14ac:dyDescent="0.2">
      <c r="B50" s="117"/>
      <c r="C50" s="118"/>
      <c r="D50" s="118"/>
      <c r="E50" s="117"/>
      <c r="F50" s="117"/>
      <c r="G50" s="117"/>
      <c r="H50" s="117"/>
      <c r="I50" s="117"/>
      <c r="J50" s="117"/>
      <c r="K50" s="117"/>
      <c r="L50" s="117"/>
      <c r="M50" s="117"/>
      <c r="N50" s="117"/>
      <c r="O50" s="117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N50"/>
      <c r="AO50"/>
      <c r="AP50"/>
      <c r="AQ50"/>
      <c r="AR50"/>
      <c r="AS50"/>
      <c r="AT50"/>
      <c r="AU50"/>
      <c r="AV50"/>
      <c r="AW50"/>
      <c r="AX50"/>
      <c r="AY50"/>
    </row>
    <row r="51" spans="1:51" x14ac:dyDescent="0.2">
      <c r="B51" s="117"/>
      <c r="C51" s="118"/>
      <c r="D51" s="118"/>
      <c r="E51" s="117"/>
      <c r="F51" s="117"/>
      <c r="G51" s="117"/>
      <c r="H51" s="117"/>
      <c r="I51" s="117"/>
      <c r="J51" s="117"/>
      <c r="K51" s="117"/>
      <c r="L51" s="117"/>
      <c r="M51" s="117"/>
      <c r="N51" s="117"/>
      <c r="O51" s="117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N51"/>
      <c r="AO51"/>
      <c r="AP51"/>
      <c r="AQ51"/>
      <c r="AR51"/>
      <c r="AS51"/>
      <c r="AT51"/>
      <c r="AU51"/>
      <c r="AV51"/>
      <c r="AW51"/>
      <c r="AX51"/>
      <c r="AY51"/>
    </row>
    <row r="52" spans="1:51" x14ac:dyDescent="0.2">
      <c r="B52" s="117"/>
      <c r="C52" s="118"/>
      <c r="D52" s="118"/>
      <c r="E52" s="117"/>
      <c r="F52" s="117"/>
      <c r="G52" s="117"/>
      <c r="H52" s="117"/>
      <c r="I52" s="117"/>
      <c r="J52" s="117"/>
      <c r="K52" s="117"/>
      <c r="L52" s="117"/>
      <c r="M52" s="117"/>
      <c r="N52" s="117"/>
      <c r="O52" s="117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N52"/>
      <c r="AO52"/>
      <c r="AP52"/>
      <c r="AQ52"/>
      <c r="AR52"/>
      <c r="AS52"/>
      <c r="AT52"/>
      <c r="AU52"/>
      <c r="AV52"/>
      <c r="AW52"/>
      <c r="AX52"/>
      <c r="AY52"/>
    </row>
    <row r="53" spans="1:51" x14ac:dyDescent="0.2">
      <c r="B53" s="117"/>
      <c r="C53" s="119"/>
      <c r="D53" s="119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20"/>
      <c r="Q53" s="120"/>
      <c r="R53" s="117"/>
      <c r="S53" s="117"/>
      <c r="T53" s="117"/>
      <c r="U53" s="117"/>
      <c r="V53" s="117"/>
      <c r="W53" s="117"/>
      <c r="X53" s="117"/>
      <c r="Y53" s="117"/>
      <c r="Z53" s="117"/>
      <c r="AN53"/>
      <c r="AO53"/>
      <c r="AP53"/>
      <c r="AQ53"/>
      <c r="AR53"/>
      <c r="AS53"/>
      <c r="AT53"/>
      <c r="AU53"/>
      <c r="AV53"/>
      <c r="AW53"/>
      <c r="AX53"/>
      <c r="AY53"/>
    </row>
    <row r="54" spans="1:51" x14ac:dyDescent="0.2">
      <c r="B54" s="117"/>
      <c r="C54" s="121"/>
      <c r="D54" s="117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N54"/>
      <c r="AO54"/>
      <c r="AP54"/>
      <c r="AQ54"/>
      <c r="AR54"/>
      <c r="AS54"/>
      <c r="AT54"/>
      <c r="AU54"/>
      <c r="AV54"/>
      <c r="AW54"/>
      <c r="AX54"/>
      <c r="AY54"/>
    </row>
    <row r="55" spans="1:51" x14ac:dyDescent="0.2">
      <c r="B55" s="117"/>
      <c r="C55" s="117"/>
      <c r="D55" s="117"/>
      <c r="E55" s="117"/>
      <c r="F55" s="117"/>
      <c r="G55" s="117"/>
      <c r="H55" s="117"/>
      <c r="I55" s="117"/>
      <c r="J55" s="117"/>
      <c r="K55" s="117"/>
      <c r="L55" s="117"/>
      <c r="M55" s="117"/>
      <c r="N55" s="117"/>
      <c r="O55" s="117"/>
      <c r="P55" s="117"/>
      <c r="Q55" s="117"/>
      <c r="R55" s="117"/>
      <c r="S55" s="117"/>
      <c r="T55" s="117"/>
      <c r="U55" s="117"/>
      <c r="V55" s="117"/>
      <c r="W55" s="117"/>
      <c r="X55" s="117"/>
      <c r="Y55" s="117"/>
      <c r="Z55" s="117"/>
    </row>
    <row r="56" spans="1:51" x14ac:dyDescent="0.2">
      <c r="B56" s="117"/>
      <c r="C56" s="117"/>
      <c r="D56" s="117"/>
      <c r="E56" s="117"/>
      <c r="F56" s="117"/>
      <c r="G56" s="117"/>
      <c r="H56" s="117"/>
      <c r="I56" s="117"/>
      <c r="J56" s="117"/>
      <c r="K56" s="117"/>
      <c r="L56" s="117"/>
      <c r="M56" s="117"/>
      <c r="N56" s="117"/>
      <c r="O56" s="122"/>
      <c r="P56" s="117"/>
      <c r="Q56" s="117"/>
      <c r="R56" s="117"/>
      <c r="S56" s="117"/>
      <c r="T56" s="117"/>
      <c r="U56" s="117"/>
      <c r="V56" s="117"/>
      <c r="W56" s="117"/>
      <c r="X56" s="117"/>
      <c r="Y56" s="117"/>
      <c r="Z56" s="117"/>
    </row>
    <row r="57" spans="1:51" x14ac:dyDescent="0.2">
      <c r="B57" s="117"/>
      <c r="C57" s="117"/>
      <c r="D57" s="117"/>
      <c r="E57" s="117"/>
      <c r="F57" s="117"/>
      <c r="G57" s="117"/>
      <c r="H57" s="117"/>
      <c r="I57" s="117"/>
      <c r="J57" s="117"/>
      <c r="K57" s="117"/>
      <c r="L57" s="117"/>
      <c r="M57" s="117"/>
      <c r="N57" s="117"/>
      <c r="O57" s="117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</row>
    <row r="58" spans="1:51" x14ac:dyDescent="0.2">
      <c r="G58" s="1"/>
      <c r="H58" s="1"/>
      <c r="I58" s="1"/>
      <c r="J58" s="1"/>
      <c r="K58" s="1"/>
      <c r="L58" s="1"/>
      <c r="M58" s="1"/>
      <c r="N58" s="1"/>
    </row>
    <row r="59" spans="1:51" ht="24" x14ac:dyDescent="0.3">
      <c r="A59" s="86" t="s">
        <v>121</v>
      </c>
    </row>
    <row r="60" spans="1:51" x14ac:dyDescent="0.2">
      <c r="A60" s="6" t="s">
        <v>157</v>
      </c>
    </row>
    <row r="61" spans="1:51" x14ac:dyDescent="0.2">
      <c r="A61" s="6" t="s">
        <v>122</v>
      </c>
    </row>
    <row r="62" spans="1:51" x14ac:dyDescent="0.2">
      <c r="A62" s="6" t="s">
        <v>126</v>
      </c>
    </row>
    <row r="63" spans="1:51" x14ac:dyDescent="0.2">
      <c r="A63" s="6" t="s">
        <v>123</v>
      </c>
    </row>
    <row r="64" spans="1:51" x14ac:dyDescent="0.2">
      <c r="A64" s="6" t="s">
        <v>124</v>
      </c>
    </row>
    <row r="65" spans="1:1" x14ac:dyDescent="0.2">
      <c r="A65" s="6" t="s">
        <v>125</v>
      </c>
    </row>
  </sheetData>
  <sheetProtection algorithmName="SHA-512" hashValue="01X1/X4g8HP66NEyjVWgjFg90ZYE2D507ZfEehAM+jR/O2wYRlWZ7bN4auUqDbZ3H6nWEBO09iv+Vn/12ogLww==" saltValue="iN2AAZJ60/WNpvuu+kFEiA==" spinCount="100000" sheet="1" pivotTables="0"/>
  <mergeCells count="26">
    <mergeCell ref="J11:K11"/>
    <mergeCell ref="Y11:Z11"/>
    <mergeCell ref="A47:AA47"/>
    <mergeCell ref="A12:A13"/>
    <mergeCell ref="J12:K12"/>
    <mergeCell ref="O12:O13"/>
    <mergeCell ref="Y12:Z12"/>
    <mergeCell ref="J13:K13"/>
    <mergeCell ref="Y13:Z13"/>
    <mergeCell ref="A27:AA27"/>
    <mergeCell ref="N28:R28"/>
    <mergeCell ref="N30:R30"/>
    <mergeCell ref="S29:W29"/>
    <mergeCell ref="A35:AA35"/>
    <mergeCell ref="A30:I30"/>
    <mergeCell ref="A31:I31"/>
    <mergeCell ref="D2:H2"/>
    <mergeCell ref="J9:K9"/>
    <mergeCell ref="Y9:Z9"/>
    <mergeCell ref="J10:K10"/>
    <mergeCell ref="Y10:Z10"/>
    <mergeCell ref="C3:D3"/>
    <mergeCell ref="G3:L3"/>
    <mergeCell ref="R3:S3"/>
    <mergeCell ref="B6:D6"/>
    <mergeCell ref="N6:P6"/>
  </mergeCells>
  <conditionalFormatting sqref="A17:E21">
    <cfRule type="cellIs" dxfId="58" priority="1" operator="lessThan">
      <formula>0</formula>
    </cfRule>
    <cfRule type="expression" dxfId="57" priority="2">
      <formula>OR(RIGHT($O17,4)="W.O.",RIGHT($F17,4)="W.O.")</formula>
    </cfRule>
    <cfRule type="expression" dxfId="56" priority="3">
      <formula>$A17=""</formula>
    </cfRule>
    <cfRule type="cellIs" dxfId="55" priority="4" operator="greaterThan">
      <formula>0</formula>
    </cfRule>
  </conditionalFormatting>
  <conditionalFormatting sqref="F17:F21">
    <cfRule type="expression" dxfId="54" priority="7">
      <formula>AND(ISNUMBER(L17),L17&gt;0)</formula>
    </cfRule>
  </conditionalFormatting>
  <conditionalFormatting sqref="G3 R3 B6 F6 N6 R6 B10:C13 P10:Q13 N28 S29 N30">
    <cfRule type="containsBlanks" dxfId="53" priority="11">
      <formula>LEN(TRIM(B3))=0</formula>
    </cfRule>
  </conditionalFormatting>
  <conditionalFormatting sqref="L17:L21 N17:N21">
    <cfRule type="cellIs" dxfId="52" priority="9" operator="greaterThan">
      <formula>0</formula>
    </cfRule>
  </conditionalFormatting>
  <conditionalFormatting sqref="O17:O21">
    <cfRule type="expression" dxfId="51" priority="6">
      <formula>AND(ISNUMBER(N17),N17&gt;0)</formula>
    </cfRule>
  </conditionalFormatting>
  <dataValidations count="6">
    <dataValidation type="list" allowBlank="1" showInputMessage="1" showErrorMessage="1" sqref="R6 F6" xr:uid="{00000000-0002-0000-0A00-000000000000}">
      <formula1>$BF$28:$BF$34</formula1>
    </dataValidation>
    <dataValidation type="list" allowBlank="1" showInputMessage="1" sqref="N28:R28" xr:uid="{00000000-0002-0000-0A00-000001000000}">
      <formula1>$BB$41:$BB$42</formula1>
    </dataValidation>
    <dataValidation type="list" allowBlank="1" showInputMessage="1" showErrorMessage="1" sqref="G3:L3" xr:uid="{00000000-0002-0000-0A00-000002000000}">
      <formula1>$BE$39:$BE$41</formula1>
    </dataValidation>
    <dataValidation type="list" allowBlank="1" showInputMessage="1" sqref="N6:P6 B6:D6" xr:uid="{00000000-0002-0000-0A00-000004000000}">
      <formula1>$BH$21:$BH$46</formula1>
    </dataValidation>
    <dataValidation type="list" allowBlank="1" showInputMessage="1" sqref="S29:W29" xr:uid="{00000000-0002-0000-0A00-000005000000}">
      <formula1>$BB$39:$BB$42</formula1>
    </dataValidation>
    <dataValidation type="list" allowBlank="1" showInputMessage="1" sqref="N30:R30" xr:uid="{00000000-0002-0000-0A00-000006000000}">
      <formula1>$BB$39:$BB$40</formula1>
    </dataValidation>
  </dataValidations>
  <hyperlinks>
    <hyperlink ref="O33" r:id="rId2" xr:uid="{00000000-0004-0000-0A00-000000000000}"/>
  </hyperlinks>
  <printOptions horizontalCentered="1" verticalCentered="1"/>
  <pageMargins left="0.31496062992125984" right="0.31496062992125984" top="0.15748031496062992" bottom="0.35433070866141736" header="0.11811023622047245" footer="0.31496062992125984"/>
  <pageSetup paperSize="9" scale="77" fitToHeight="2" orientation="landscape" r:id="rId3"/>
  <headerFooter>
    <oddHeader>&amp;C&amp;"Calibri"&amp;10&amp;KFF8C00C2 - Confidential&amp;1#</oddHeader>
  </headerFooter>
  <rowBreaks count="1" manualBreakCount="1">
    <brk id="34" max="26" man="1"/>
  </rowBreaks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A00-000003000000}">
          <x14:formula1>
            <xm:f>'Jour Match'!$B$41:$B$47</xm:f>
          </x14:formula1>
          <xm:sqref>R3:S3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Feuil10">
    <tabColor rgb="FFC00000"/>
  </sheetPr>
  <dimension ref="A1:AI56"/>
  <sheetViews>
    <sheetView zoomScale="70" zoomScaleNormal="70" workbookViewId="0">
      <selection activeCell="A2" sqref="A2"/>
    </sheetView>
  </sheetViews>
  <sheetFormatPr baseColWidth="10" defaultRowHeight="16" x14ac:dyDescent="0.2"/>
  <cols>
    <col min="1" max="6" width="5.6640625" customWidth="1"/>
    <col min="7" max="10" width="6.6640625" customWidth="1"/>
    <col min="11" max="11" width="5.6640625" customWidth="1"/>
    <col min="12" max="12" width="1.6640625" customWidth="1"/>
    <col min="13" max="18" width="5.6640625" customWidth="1"/>
    <col min="19" max="22" width="6.6640625" customWidth="1"/>
    <col min="23" max="23" width="5.6640625" customWidth="1"/>
    <col min="24" max="24" width="1.6640625" customWidth="1"/>
    <col min="25" max="30" width="5.6640625" customWidth="1"/>
    <col min="31" max="34" width="6.6640625" customWidth="1"/>
    <col min="35" max="42" width="5.6640625" customWidth="1"/>
  </cols>
  <sheetData>
    <row r="1" spans="1:35" ht="21" customHeight="1" x14ac:dyDescent="0.25">
      <c r="A1" s="476" t="s">
        <v>1668</v>
      </c>
      <c r="B1" s="476"/>
      <c r="C1" s="476"/>
      <c r="D1" s="476"/>
      <c r="E1" s="476"/>
      <c r="F1" s="476"/>
      <c r="G1" s="476"/>
      <c r="H1" s="476"/>
      <c r="I1" s="476"/>
      <c r="J1" s="476"/>
      <c r="K1" s="476"/>
      <c r="L1" s="151"/>
      <c r="M1" s="476" t="str">
        <f>A1</f>
        <v>UFOLEP 77 – Coupes Nationales 2025 - 2026</v>
      </c>
      <c r="N1" s="476"/>
      <c r="O1" s="476"/>
      <c r="P1" s="476"/>
      <c r="Q1" s="476"/>
      <c r="R1" s="476"/>
      <c r="S1" s="476"/>
      <c r="T1" s="476"/>
      <c r="U1" s="476"/>
      <c r="V1" s="476"/>
      <c r="W1" s="476"/>
      <c r="X1" s="151"/>
      <c r="Y1" s="476" t="str">
        <f>A1</f>
        <v>UFOLEP 77 – Coupes Nationales 2025 - 2026</v>
      </c>
      <c r="Z1" s="476"/>
      <c r="AA1" s="476"/>
      <c r="AB1" s="476"/>
      <c r="AC1" s="476"/>
      <c r="AD1" s="476"/>
      <c r="AE1" s="476"/>
      <c r="AF1" s="476"/>
      <c r="AG1" s="476"/>
      <c r="AH1" s="476"/>
      <c r="AI1" s="476"/>
    </row>
    <row r="2" spans="1:35" ht="21" customHeight="1" x14ac:dyDescent="0.2">
      <c r="A2" s="129"/>
      <c r="B2" s="470">
        <f>+'Coupes Nationales'!$I$4</f>
        <v>0</v>
      </c>
      <c r="C2" s="470"/>
      <c r="D2" s="470"/>
      <c r="E2" s="470"/>
      <c r="F2" s="470"/>
      <c r="G2" s="130" t="s">
        <v>28</v>
      </c>
      <c r="H2" s="133">
        <f>+'Coupes Nationales'!$N$3</f>
        <v>0</v>
      </c>
      <c r="I2" s="131" t="s">
        <v>427</v>
      </c>
      <c r="J2" s="131"/>
      <c r="K2" s="132">
        <f>+'Coupes Nationales'!$R$3</f>
        <v>0</v>
      </c>
      <c r="L2" s="152"/>
      <c r="M2" s="129"/>
      <c r="N2" s="470">
        <f>+'Coupes Nationales'!$I$4</f>
        <v>0</v>
      </c>
      <c r="O2" s="470"/>
      <c r="P2" s="470"/>
      <c r="Q2" s="470"/>
      <c r="R2" s="470"/>
      <c r="S2" s="130" t="s">
        <v>28</v>
      </c>
      <c r="T2" s="133">
        <f>+'Coupes Nationales'!$N$3</f>
        <v>0</v>
      </c>
      <c r="U2" s="131" t="s">
        <v>427</v>
      </c>
      <c r="V2" s="131"/>
      <c r="W2" s="132">
        <f>+'Coupes Nationales'!$R$3</f>
        <v>0</v>
      </c>
      <c r="X2" s="152"/>
      <c r="Y2" s="129"/>
      <c r="Z2" s="131"/>
      <c r="AA2" s="131"/>
      <c r="AB2" s="131"/>
      <c r="AC2" s="470">
        <f>+'Coupes Nationales'!$I$4</f>
        <v>0</v>
      </c>
      <c r="AD2" s="470"/>
      <c r="AE2" s="130" t="s">
        <v>28</v>
      </c>
      <c r="AF2" s="133">
        <f>+'Coupes Nationales'!$N$3</f>
        <v>0</v>
      </c>
      <c r="AG2" s="131" t="s">
        <v>427</v>
      </c>
      <c r="AH2" s="131"/>
      <c r="AI2" s="132">
        <f>+'Coupes Nationales'!$R$3</f>
        <v>0</v>
      </c>
    </row>
    <row r="3" spans="1:35" ht="21" customHeight="1" x14ac:dyDescent="0.2">
      <c r="A3" s="475" t="str">
        <f>+'Coupes Nationales'!$B$6&amp;" "&amp;'Coupes Nationales'!$F$6</f>
        <v xml:space="preserve"> </v>
      </c>
      <c r="B3" s="475"/>
      <c r="C3" s="475"/>
      <c r="D3" s="475"/>
      <c r="E3" s="475"/>
      <c r="F3" s="475"/>
      <c r="G3" s="153" t="s">
        <v>426</v>
      </c>
      <c r="H3" s="468" t="str">
        <f>+'Coupes Nationales'!$N$6&amp;" "&amp;'Coupes Nationales'!$R$6</f>
        <v xml:space="preserve"> </v>
      </c>
      <c r="I3" s="468"/>
      <c r="J3" s="468"/>
      <c r="K3" s="468"/>
      <c r="L3" s="154"/>
      <c r="M3" s="475" t="str">
        <f>+'Coupes Nationales'!$B$6&amp;" "&amp;'Coupes Nationales'!$F$6</f>
        <v xml:space="preserve"> </v>
      </c>
      <c r="N3" s="475"/>
      <c r="O3" s="475"/>
      <c r="P3" s="475"/>
      <c r="Q3" s="475"/>
      <c r="R3" s="475"/>
      <c r="S3" s="147" t="s">
        <v>426</v>
      </c>
      <c r="T3" s="468" t="str">
        <f>+'Coupes Nationales'!$N$6&amp;" "&amp;'Coupes Nationales'!$R$6</f>
        <v xml:space="preserve"> </v>
      </c>
      <c r="U3" s="468"/>
      <c r="V3" s="468"/>
      <c r="W3" s="468"/>
      <c r="X3" s="154"/>
      <c r="Y3" s="475" t="str">
        <f>+'Coupes Nationales'!$B$6&amp;" "&amp;'Coupes Nationales'!$F$6</f>
        <v xml:space="preserve"> </v>
      </c>
      <c r="Z3" s="475"/>
      <c r="AA3" s="475"/>
      <c r="AB3" s="475"/>
      <c r="AC3" s="475"/>
      <c r="AD3" s="475"/>
      <c r="AE3" s="153" t="s">
        <v>426</v>
      </c>
      <c r="AF3" s="468" t="str">
        <f>+'Coupes Nationales'!$N$6&amp;" "&amp;'Coupes Nationales'!$R$6</f>
        <v xml:space="preserve"> </v>
      </c>
      <c r="AG3" s="468"/>
      <c r="AH3" s="468"/>
      <c r="AI3" s="468"/>
    </row>
    <row r="4" spans="1:35" ht="21" customHeight="1" thickBot="1" x14ac:dyDescent="0.25">
      <c r="A4" s="134" t="s">
        <v>29</v>
      </c>
      <c r="B4" s="512" t="str">
        <f>IF(ISBLANK('Coupes Nationales'!C3),'Coupes Nationales'!D2,'Coupes Nationales'!C3)</f>
        <v/>
      </c>
      <c r="C4" s="512" t="e">
        <f>IF(ISBLANK('Coupes Nationales'!#REF!),'Coupes Nationales'!#REF!,#REF!)</f>
        <v>#REF!</v>
      </c>
      <c r="D4" s="512" t="e">
        <f>IF(ISBLANK('Coupes Nationales'!#REF!),'Coupes Nationales'!#REF!,#REF!)</f>
        <v>#REF!</v>
      </c>
      <c r="E4" s="512" t="e">
        <f>IF(ISBLANK('Coupes Nationales'!#REF!),'Coupes Nationales'!#REF!,#REF!)</f>
        <v>#REF!</v>
      </c>
      <c r="F4" s="512" t="e">
        <f>IF(ISBLANK('Coupes Nationales'!#REF!),'Coupes Nationales'!#REF!,#REF!)</f>
        <v>#REF!</v>
      </c>
      <c r="G4" s="135"/>
      <c r="H4" s="136" t="s">
        <v>407</v>
      </c>
      <c r="I4" s="135"/>
      <c r="J4" s="135"/>
      <c r="K4" s="137"/>
      <c r="L4" s="155"/>
      <c r="M4" s="134" t="s">
        <v>29</v>
      </c>
      <c r="N4" s="512" t="str">
        <f>+B4</f>
        <v/>
      </c>
      <c r="O4" s="512"/>
      <c r="P4" s="512"/>
      <c r="Q4" s="512"/>
      <c r="R4" s="512"/>
      <c r="S4" s="135"/>
      <c r="T4" s="136" t="s">
        <v>407</v>
      </c>
      <c r="U4" s="135"/>
      <c r="V4" s="135"/>
      <c r="W4" s="137"/>
      <c r="X4" s="155"/>
      <c r="Y4" s="134" t="s">
        <v>29</v>
      </c>
      <c r="Z4" s="512" t="str">
        <f>+B4</f>
        <v/>
      </c>
      <c r="AA4" s="512"/>
      <c r="AB4" s="512"/>
      <c r="AC4" s="512">
        <v>43382</v>
      </c>
      <c r="AD4" s="512"/>
      <c r="AE4" s="135"/>
      <c r="AF4" s="136" t="s">
        <v>407</v>
      </c>
      <c r="AG4" s="135"/>
      <c r="AH4" s="135"/>
      <c r="AI4" s="137"/>
    </row>
    <row r="5" spans="1:35" ht="21" customHeight="1" thickTop="1" x14ac:dyDescent="0.2">
      <c r="A5" s="129"/>
      <c r="B5" s="138"/>
      <c r="C5" s="138"/>
      <c r="D5" s="138"/>
      <c r="E5" s="138"/>
      <c r="F5" s="131"/>
      <c r="G5" s="131" t="s">
        <v>1021</v>
      </c>
      <c r="H5" s="131"/>
      <c r="I5" s="131"/>
      <c r="J5" s="131"/>
      <c r="K5" s="139"/>
      <c r="L5" s="155"/>
      <c r="M5" s="129"/>
      <c r="N5" s="138"/>
      <c r="O5" s="138"/>
      <c r="P5" s="138"/>
      <c r="Q5" s="138"/>
      <c r="R5" s="131"/>
      <c r="S5" s="131" t="s">
        <v>1021</v>
      </c>
      <c r="T5" s="131"/>
      <c r="U5" s="131"/>
      <c r="V5" s="131"/>
      <c r="W5" s="139"/>
      <c r="X5" s="155"/>
      <c r="Y5" s="129"/>
      <c r="Z5" s="131"/>
      <c r="AA5" s="131"/>
      <c r="AB5" s="131"/>
      <c r="AC5" s="138"/>
      <c r="AD5" s="131"/>
      <c r="AE5" s="131" t="s">
        <v>1021</v>
      </c>
      <c r="AF5" s="131"/>
      <c r="AG5" s="131"/>
      <c r="AH5" s="131"/>
      <c r="AI5" s="139"/>
    </row>
    <row r="6" spans="1:35" ht="21" customHeight="1" x14ac:dyDescent="0.25">
      <c r="A6" s="156" t="s">
        <v>405</v>
      </c>
      <c r="B6" s="474" t="s">
        <v>483</v>
      </c>
      <c r="C6" s="474"/>
      <c r="D6" s="474"/>
      <c r="E6" s="474"/>
      <c r="F6" s="474"/>
      <c r="G6" s="157" t="s">
        <v>12</v>
      </c>
      <c r="H6" s="157" t="s">
        <v>13</v>
      </c>
      <c r="I6" s="157" t="s">
        <v>14</v>
      </c>
      <c r="J6" s="157" t="s">
        <v>15</v>
      </c>
      <c r="K6" s="157" t="s">
        <v>16</v>
      </c>
      <c r="L6" s="158"/>
      <c r="M6" s="156" t="s">
        <v>405</v>
      </c>
      <c r="N6" s="474" t="s">
        <v>484</v>
      </c>
      <c r="O6" s="474"/>
      <c r="P6" s="474"/>
      <c r="Q6" s="474"/>
      <c r="R6" s="474"/>
      <c r="S6" s="157" t="s">
        <v>12</v>
      </c>
      <c r="T6" s="157" t="s">
        <v>13</v>
      </c>
      <c r="U6" s="157" t="s">
        <v>14</v>
      </c>
      <c r="V6" s="157" t="s">
        <v>15</v>
      </c>
      <c r="W6" s="157" t="s">
        <v>16</v>
      </c>
      <c r="X6" s="158"/>
      <c r="Y6" s="156" t="s">
        <v>405</v>
      </c>
      <c r="Z6" s="474" t="s">
        <v>485</v>
      </c>
      <c r="AA6" s="474"/>
      <c r="AB6" s="474"/>
      <c r="AC6" s="474"/>
      <c r="AD6" s="474"/>
      <c r="AE6" s="157" t="s">
        <v>12</v>
      </c>
      <c r="AF6" s="157" t="s">
        <v>13</v>
      </c>
      <c r="AG6" s="157" t="s">
        <v>14</v>
      </c>
      <c r="AH6" s="157" t="s">
        <v>15</v>
      </c>
      <c r="AI6" s="157" t="s">
        <v>16</v>
      </c>
    </row>
    <row r="7" spans="1:35" ht="24" customHeight="1" x14ac:dyDescent="0.2">
      <c r="A7" s="159" t="str">
        <f>+'Coupes Nationales'!C10</f>
        <v xml:space="preserve"> </v>
      </c>
      <c r="B7" s="131"/>
      <c r="C7" s="131"/>
      <c r="D7" s="131"/>
      <c r="E7" s="131"/>
      <c r="F7" s="131"/>
      <c r="G7" s="141"/>
      <c r="H7" s="141"/>
      <c r="I7" s="141"/>
      <c r="J7" s="141"/>
      <c r="K7" s="141"/>
      <c r="L7" s="155"/>
      <c r="M7" s="159" t="str">
        <f>+'Coupes Nationales'!C11</f>
        <v xml:space="preserve"> </v>
      </c>
      <c r="N7" s="131"/>
      <c r="O7" s="131"/>
      <c r="P7" s="131"/>
      <c r="Q7" s="131"/>
      <c r="R7" s="131"/>
      <c r="S7" s="141"/>
      <c r="T7" s="141"/>
      <c r="U7" s="141"/>
      <c r="V7" s="141"/>
      <c r="W7" s="141"/>
      <c r="X7" s="155"/>
      <c r="Y7" s="159" t="str">
        <f>+'Coupes Nationales'!C11</f>
        <v xml:space="preserve"> </v>
      </c>
      <c r="Z7" s="131"/>
      <c r="AA7" s="131"/>
      <c r="AB7" s="131"/>
      <c r="AC7" s="131"/>
      <c r="AD7" s="131"/>
      <c r="AE7" s="141"/>
      <c r="AF7" s="141"/>
      <c r="AG7" s="141"/>
      <c r="AH7" s="141"/>
      <c r="AI7" s="141"/>
    </row>
    <row r="8" spans="1:35" ht="24" customHeight="1" x14ac:dyDescent="0.2">
      <c r="A8" s="162" t="str">
        <f>'Coupes Nationales'!I10</f>
        <v/>
      </c>
      <c r="B8" s="131"/>
      <c r="C8" s="131"/>
      <c r="D8" s="131"/>
      <c r="E8" s="131"/>
      <c r="F8" s="131"/>
      <c r="G8" s="143"/>
      <c r="H8" s="143"/>
      <c r="I8" s="143"/>
      <c r="J8" s="143"/>
      <c r="K8" s="143"/>
      <c r="L8" s="155"/>
      <c r="M8" s="163" t="str">
        <f>'Coupes Nationales'!I11</f>
        <v/>
      </c>
      <c r="N8" s="131"/>
      <c r="O8" s="131"/>
      <c r="P8" s="131"/>
      <c r="Q8" s="131"/>
      <c r="R8" s="131"/>
      <c r="S8" s="143"/>
      <c r="T8" s="143"/>
      <c r="U8" s="143"/>
      <c r="V8" s="143"/>
      <c r="W8" s="143"/>
      <c r="X8" s="155"/>
      <c r="Y8" s="163" t="str">
        <f>'Coupes Nationales'!I11</f>
        <v/>
      </c>
      <c r="Z8" s="131"/>
      <c r="AA8" s="131"/>
      <c r="AB8" s="131"/>
      <c r="AC8" s="131"/>
      <c r="AD8" s="131"/>
      <c r="AE8" s="143"/>
      <c r="AF8" s="143"/>
      <c r="AG8" s="143"/>
      <c r="AH8" s="143"/>
      <c r="AI8" s="143"/>
    </row>
    <row r="9" spans="1:35" ht="15.75" customHeight="1" x14ac:dyDescent="0.2">
      <c r="A9" s="142" t="s">
        <v>156</v>
      </c>
      <c r="B9" s="131"/>
      <c r="C9" s="131"/>
      <c r="D9" s="131"/>
      <c r="E9" s="131"/>
      <c r="F9" s="131"/>
      <c r="G9" s="131"/>
      <c r="H9" s="131"/>
      <c r="I9" s="131"/>
      <c r="J9" s="131"/>
      <c r="K9" s="140"/>
      <c r="L9" s="155"/>
      <c r="M9" s="142" t="s">
        <v>156</v>
      </c>
      <c r="N9" s="131"/>
      <c r="O9" s="131"/>
      <c r="P9" s="131"/>
      <c r="Q9" s="131"/>
      <c r="R9" s="131"/>
      <c r="S9" s="131"/>
      <c r="T9" s="131"/>
      <c r="U9" s="131"/>
      <c r="V9" s="131"/>
      <c r="W9" s="140"/>
      <c r="X9" s="155"/>
      <c r="Y9" s="142" t="s">
        <v>156</v>
      </c>
      <c r="Z9" s="130"/>
      <c r="AA9" s="130"/>
      <c r="AB9" s="130"/>
      <c r="AC9" s="131"/>
      <c r="AD9" s="131"/>
      <c r="AE9" s="131"/>
      <c r="AF9" s="131"/>
      <c r="AG9" s="131"/>
      <c r="AH9" s="131"/>
      <c r="AI9" s="140"/>
    </row>
    <row r="10" spans="1:35" ht="24" customHeight="1" x14ac:dyDescent="0.2">
      <c r="A10" s="159" t="str">
        <f>+'Coupes Nationales'!$Q$10</f>
        <v xml:space="preserve"> </v>
      </c>
      <c r="B10" s="131"/>
      <c r="C10" s="131"/>
      <c r="D10" s="131"/>
      <c r="E10" s="131"/>
      <c r="F10" s="131"/>
      <c r="G10" s="141"/>
      <c r="H10" s="141"/>
      <c r="I10" s="141"/>
      <c r="J10" s="141"/>
      <c r="K10" s="141"/>
      <c r="L10" s="155"/>
      <c r="M10" s="159" t="str">
        <f>+'Coupes Nationales'!$Q$11</f>
        <v xml:space="preserve"> </v>
      </c>
      <c r="N10" s="131"/>
      <c r="O10" s="131"/>
      <c r="P10" s="131"/>
      <c r="Q10" s="131"/>
      <c r="R10" s="131"/>
      <c r="S10" s="141"/>
      <c r="T10" s="141"/>
      <c r="U10" s="141"/>
      <c r="V10" s="141"/>
      <c r="W10" s="141"/>
      <c r="X10" s="155"/>
      <c r="Y10" s="159" t="str">
        <f>+'Coupes Nationales'!$Q$10</f>
        <v xml:space="preserve"> </v>
      </c>
      <c r="Z10" s="131"/>
      <c r="AA10" s="131"/>
      <c r="AB10" s="131"/>
      <c r="AC10" s="131"/>
      <c r="AD10" s="131"/>
      <c r="AE10" s="141"/>
      <c r="AF10" s="141"/>
      <c r="AG10" s="141"/>
      <c r="AH10" s="141"/>
      <c r="AI10" s="141"/>
    </row>
    <row r="11" spans="1:35" ht="24" customHeight="1" x14ac:dyDescent="0.2">
      <c r="A11" s="163" t="str">
        <f>'Coupes Nationales'!X10</f>
        <v/>
      </c>
      <c r="B11" s="131"/>
      <c r="C11" s="131"/>
      <c r="D11" s="131"/>
      <c r="E11" s="131"/>
      <c r="F11" s="131"/>
      <c r="G11" s="143"/>
      <c r="H11" s="143"/>
      <c r="I11" s="143"/>
      <c r="J11" s="143"/>
      <c r="K11" s="143"/>
      <c r="L11" s="155"/>
      <c r="M11" s="163" t="str">
        <f>'Coupes Nationales'!X11</f>
        <v/>
      </c>
      <c r="N11" s="131"/>
      <c r="O11" s="131"/>
      <c r="P11" s="131"/>
      <c r="Q11" s="131"/>
      <c r="R11" s="131"/>
      <c r="S11" s="143"/>
      <c r="T11" s="143"/>
      <c r="U11" s="143"/>
      <c r="V11" s="143"/>
      <c r="W11" s="143"/>
      <c r="X11" s="155"/>
      <c r="Y11" s="163" t="str">
        <f>'Coupes Nationales'!X10</f>
        <v/>
      </c>
      <c r="Z11" s="131"/>
      <c r="AA11" s="131"/>
      <c r="AB11" s="131"/>
      <c r="AC11" s="131"/>
      <c r="AD11" s="131"/>
      <c r="AE11" s="143"/>
      <c r="AF11" s="143"/>
      <c r="AG11" s="143"/>
      <c r="AH11" s="143"/>
      <c r="AI11" s="143"/>
    </row>
    <row r="12" spans="1:35" ht="21" customHeight="1" x14ac:dyDescent="0.2">
      <c r="A12" s="144" t="s">
        <v>406</v>
      </c>
      <c r="B12" s="131" t="s">
        <v>408</v>
      </c>
      <c r="C12" s="131" t="str">
        <f>'Coupes Nationales'!Q11</f>
        <v xml:space="preserve"> </v>
      </c>
      <c r="D12" s="131"/>
      <c r="E12" s="131"/>
      <c r="F12" s="131"/>
      <c r="G12" s="131"/>
      <c r="H12" s="131"/>
      <c r="I12" s="131"/>
      <c r="J12" s="131"/>
      <c r="K12" s="139"/>
      <c r="L12" s="155"/>
      <c r="M12" s="144" t="s">
        <v>406</v>
      </c>
      <c r="N12" s="131" t="s">
        <v>409</v>
      </c>
      <c r="O12" s="131" t="str">
        <f>'Coupes Nationales'!Q10</f>
        <v xml:space="preserve"> </v>
      </c>
      <c r="P12" s="131"/>
      <c r="Q12" s="131"/>
      <c r="R12" s="131"/>
      <c r="S12" s="131"/>
      <c r="T12" s="131"/>
      <c r="U12" s="131"/>
      <c r="V12" s="131"/>
      <c r="W12" s="139"/>
      <c r="X12" s="155"/>
      <c r="Y12" s="144" t="s">
        <v>406</v>
      </c>
      <c r="Z12" s="145" t="s">
        <v>410</v>
      </c>
      <c r="AA12" s="131" t="str">
        <f>'Coupes Nationales'!C10</f>
        <v xml:space="preserve"> </v>
      </c>
      <c r="AB12" s="145"/>
      <c r="AC12" s="131"/>
      <c r="AD12" s="131"/>
      <c r="AE12" s="131"/>
      <c r="AF12" s="131"/>
      <c r="AG12" s="131"/>
      <c r="AH12" s="131"/>
      <c r="AI12" s="139"/>
    </row>
    <row r="13" spans="1:35" ht="21" customHeight="1" x14ac:dyDescent="0.2">
      <c r="A13" s="146"/>
      <c r="B13" s="147"/>
      <c r="C13" s="147"/>
      <c r="D13" s="147"/>
      <c r="E13" s="147"/>
      <c r="F13" s="147"/>
      <c r="G13" s="147"/>
      <c r="H13" s="147"/>
      <c r="I13" s="147"/>
      <c r="J13" s="147"/>
      <c r="K13" s="148"/>
      <c r="L13" s="155"/>
      <c r="M13" s="146"/>
      <c r="N13" s="147"/>
      <c r="O13" s="147"/>
      <c r="P13" s="147"/>
      <c r="Q13" s="147"/>
      <c r="R13" s="147"/>
      <c r="S13" s="147"/>
      <c r="T13" s="147"/>
      <c r="U13" s="147"/>
      <c r="V13" s="147"/>
      <c r="W13" s="148"/>
      <c r="X13" s="155"/>
      <c r="Y13" s="146"/>
      <c r="Z13" s="147"/>
      <c r="AA13" s="147"/>
      <c r="AB13" s="147"/>
      <c r="AC13" s="147"/>
      <c r="AD13" s="147"/>
      <c r="AE13" s="147"/>
      <c r="AF13" s="147"/>
      <c r="AG13" s="147"/>
      <c r="AH13" s="147"/>
      <c r="AI13" s="148"/>
    </row>
    <row r="14" spans="1:35" ht="2" customHeight="1" x14ac:dyDescent="0.2">
      <c r="A14" s="155"/>
      <c r="B14" s="155"/>
      <c r="C14" s="155"/>
      <c r="D14" s="155"/>
      <c r="E14" s="155"/>
      <c r="F14" s="155"/>
      <c r="G14" s="155"/>
      <c r="H14" s="155"/>
      <c r="I14" s="155"/>
      <c r="J14" s="155"/>
      <c r="K14" s="155"/>
      <c r="L14" s="155"/>
      <c r="M14" s="155"/>
      <c r="N14" s="155"/>
      <c r="O14" s="155"/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</row>
    <row r="15" spans="1:35" ht="21" customHeight="1" x14ac:dyDescent="0.25">
      <c r="A15" s="476" t="str">
        <f>A1</f>
        <v>UFOLEP 77 – Coupes Nationales 2025 - 2026</v>
      </c>
      <c r="B15" s="476"/>
      <c r="C15" s="476"/>
      <c r="D15" s="476"/>
      <c r="E15" s="476"/>
      <c r="F15" s="476"/>
      <c r="G15" s="476"/>
      <c r="H15" s="476"/>
      <c r="I15" s="476"/>
      <c r="J15" s="476"/>
      <c r="K15" s="476"/>
      <c r="L15" s="151"/>
      <c r="M15" s="476" t="str">
        <f>A1</f>
        <v>UFOLEP 77 – Coupes Nationales 2025 - 2026</v>
      </c>
      <c r="N15" s="476"/>
      <c r="O15" s="476"/>
      <c r="P15" s="476"/>
      <c r="Q15" s="476"/>
      <c r="R15" s="476"/>
      <c r="S15" s="476"/>
      <c r="T15" s="476"/>
      <c r="U15" s="476"/>
      <c r="V15" s="476"/>
      <c r="W15" s="476"/>
      <c r="X15" s="151"/>
      <c r="Y15" s="476"/>
      <c r="Z15" s="476"/>
      <c r="AA15" s="476"/>
      <c r="AB15" s="476"/>
      <c r="AC15" s="476"/>
      <c r="AD15" s="476"/>
      <c r="AE15" s="476"/>
      <c r="AF15" s="476"/>
      <c r="AG15" s="476"/>
      <c r="AH15" s="476"/>
      <c r="AI15" s="476"/>
    </row>
    <row r="16" spans="1:35" ht="21" customHeight="1" x14ac:dyDescent="0.2">
      <c r="A16" s="129"/>
      <c r="B16" s="470">
        <f>+'Coupes Nationales'!$I$4</f>
        <v>0</v>
      </c>
      <c r="C16" s="470"/>
      <c r="D16" s="470"/>
      <c r="E16" s="470"/>
      <c r="F16" s="470"/>
      <c r="G16" s="130" t="s">
        <v>28</v>
      </c>
      <c r="H16" s="133">
        <f>+'Coupes Nationales'!$N$3</f>
        <v>0</v>
      </c>
      <c r="I16" s="131" t="s">
        <v>427</v>
      </c>
      <c r="J16" s="131"/>
      <c r="K16" s="132">
        <f>+'Coupes Nationales'!$R$3</f>
        <v>0</v>
      </c>
      <c r="L16" s="152"/>
      <c r="M16" s="129"/>
      <c r="N16" s="470">
        <f>+'Coupes Nationales'!$I$4</f>
        <v>0</v>
      </c>
      <c r="O16" s="470"/>
      <c r="P16" s="470"/>
      <c r="Q16" s="470"/>
      <c r="R16" s="470"/>
      <c r="S16" s="130" t="s">
        <v>28</v>
      </c>
      <c r="T16" s="133">
        <f>+'Coupes Nationales'!$N$3</f>
        <v>0</v>
      </c>
      <c r="U16" s="131" t="s">
        <v>427</v>
      </c>
      <c r="V16" s="131"/>
      <c r="W16" s="132">
        <f>+'Coupes Nationales'!$R$3</f>
        <v>0</v>
      </c>
      <c r="X16" s="152"/>
      <c r="Y16" s="129"/>
      <c r="Z16" s="131"/>
      <c r="AA16" s="131"/>
      <c r="AB16" s="131"/>
      <c r="AC16" s="470"/>
      <c r="AD16" s="470"/>
      <c r="AE16" s="130"/>
      <c r="AF16" s="133"/>
      <c r="AG16" s="131"/>
      <c r="AH16" s="131"/>
      <c r="AI16" s="132"/>
    </row>
    <row r="17" spans="1:35" ht="21" customHeight="1" x14ac:dyDescent="0.2">
      <c r="A17" s="475" t="str">
        <f>+'Coupes Nationales'!$B$6&amp;" "&amp;'Coupes Nationales'!$F$6</f>
        <v xml:space="preserve"> </v>
      </c>
      <c r="B17" s="475"/>
      <c r="C17" s="475"/>
      <c r="D17" s="475"/>
      <c r="E17" s="475"/>
      <c r="F17" s="475"/>
      <c r="G17" s="153" t="s">
        <v>426</v>
      </c>
      <c r="H17" s="468" t="str">
        <f>+'Coupes Nationales'!$N$6&amp;" "&amp;'Coupes Nationales'!$R$6</f>
        <v xml:space="preserve"> </v>
      </c>
      <c r="I17" s="468"/>
      <c r="J17" s="468"/>
      <c r="K17" s="468"/>
      <c r="L17" s="160"/>
      <c r="M17" s="475" t="str">
        <f>+'Coupes Nationales'!$B$6&amp;" "&amp;'Coupes Nationales'!$F$6</f>
        <v xml:space="preserve"> </v>
      </c>
      <c r="N17" s="475"/>
      <c r="O17" s="475"/>
      <c r="P17" s="475"/>
      <c r="Q17" s="475"/>
      <c r="R17" s="475"/>
      <c r="S17" s="147" t="s">
        <v>426</v>
      </c>
      <c r="T17" s="468" t="str">
        <f>+'Coupes Nationales'!$N$6&amp;" "&amp;'Coupes Nationales'!$R$6</f>
        <v xml:space="preserve"> </v>
      </c>
      <c r="U17" s="468"/>
      <c r="V17" s="468"/>
      <c r="W17" s="468"/>
      <c r="X17" s="160"/>
      <c r="Y17" s="475"/>
      <c r="Z17" s="475"/>
      <c r="AA17" s="475"/>
      <c r="AB17" s="475"/>
      <c r="AC17" s="475"/>
      <c r="AD17" s="475"/>
      <c r="AE17" s="153"/>
      <c r="AF17" s="468"/>
      <c r="AG17" s="468"/>
      <c r="AH17" s="468"/>
      <c r="AI17" s="468"/>
    </row>
    <row r="18" spans="1:35" ht="21" customHeight="1" thickBot="1" x14ac:dyDescent="0.25">
      <c r="A18" s="134" t="s">
        <v>29</v>
      </c>
      <c r="B18" s="512" t="str">
        <f>+B4</f>
        <v/>
      </c>
      <c r="C18" s="512"/>
      <c r="D18" s="512"/>
      <c r="E18" s="512"/>
      <c r="F18" s="512"/>
      <c r="G18" s="135"/>
      <c r="H18" s="136" t="s">
        <v>407</v>
      </c>
      <c r="I18" s="135"/>
      <c r="J18" s="135"/>
      <c r="K18" s="137"/>
      <c r="L18" s="155"/>
      <c r="M18" s="134" t="s">
        <v>29</v>
      </c>
      <c r="N18" s="512" t="str">
        <f>+B4</f>
        <v/>
      </c>
      <c r="O18" s="512"/>
      <c r="P18" s="512"/>
      <c r="Q18" s="512"/>
      <c r="R18" s="512"/>
      <c r="S18" s="135"/>
      <c r="T18" s="136" t="s">
        <v>407</v>
      </c>
      <c r="U18" s="135"/>
      <c r="V18" s="135"/>
      <c r="W18" s="137"/>
      <c r="X18" s="155"/>
      <c r="Y18" s="134"/>
      <c r="Z18" s="512"/>
      <c r="AA18" s="512"/>
      <c r="AB18" s="512"/>
      <c r="AC18" s="512"/>
      <c r="AD18" s="512"/>
      <c r="AE18" s="135"/>
      <c r="AF18" s="136"/>
      <c r="AG18" s="135"/>
      <c r="AH18" s="135"/>
      <c r="AI18" s="137"/>
    </row>
    <row r="19" spans="1:35" ht="21" customHeight="1" thickTop="1" x14ac:dyDescent="0.2">
      <c r="A19" s="129"/>
      <c r="B19" s="138"/>
      <c r="C19" s="138"/>
      <c r="D19" s="138"/>
      <c r="E19" s="138"/>
      <c r="F19" s="131"/>
      <c r="G19" s="131" t="s">
        <v>1021</v>
      </c>
      <c r="H19" s="131"/>
      <c r="I19" s="131"/>
      <c r="J19" s="131"/>
      <c r="K19" s="139"/>
      <c r="L19" s="155"/>
      <c r="M19" s="129"/>
      <c r="N19" s="138"/>
      <c r="O19" s="138"/>
      <c r="P19" s="138"/>
      <c r="Q19" s="138"/>
      <c r="R19" s="131"/>
      <c r="S19" s="131" t="s">
        <v>1021</v>
      </c>
      <c r="T19" s="131"/>
      <c r="U19" s="131"/>
      <c r="V19" s="131"/>
      <c r="W19" s="139"/>
      <c r="X19" s="155"/>
      <c r="Y19" s="129"/>
      <c r="Z19" s="131"/>
      <c r="AA19" s="131"/>
      <c r="AB19" s="131"/>
      <c r="AC19" s="138"/>
      <c r="AD19" s="131"/>
      <c r="AE19" s="131" t="s">
        <v>1021</v>
      </c>
      <c r="AF19" s="131"/>
      <c r="AG19" s="131"/>
      <c r="AH19" s="131"/>
      <c r="AI19" s="139"/>
    </row>
    <row r="20" spans="1:35" ht="21" customHeight="1" x14ac:dyDescent="0.25">
      <c r="A20" s="156" t="s">
        <v>405</v>
      </c>
      <c r="B20" s="474" t="s">
        <v>487</v>
      </c>
      <c r="C20" s="474"/>
      <c r="D20" s="474"/>
      <c r="E20" s="474"/>
      <c r="F20" s="474"/>
      <c r="G20" s="157" t="s">
        <v>12</v>
      </c>
      <c r="H20" s="157" t="s">
        <v>13</v>
      </c>
      <c r="I20" s="157" t="s">
        <v>14</v>
      </c>
      <c r="J20" s="157" t="s">
        <v>15</v>
      </c>
      <c r="K20" s="157" t="s">
        <v>16</v>
      </c>
      <c r="L20" s="158"/>
      <c r="M20" s="156" t="s">
        <v>405</v>
      </c>
      <c r="N20" s="474" t="s">
        <v>486</v>
      </c>
      <c r="O20" s="474"/>
      <c r="P20" s="474"/>
      <c r="Q20" s="474"/>
      <c r="R20" s="474"/>
      <c r="S20" s="157" t="s">
        <v>12</v>
      </c>
      <c r="T20" s="157" t="s">
        <v>13</v>
      </c>
      <c r="U20" s="157" t="s">
        <v>14</v>
      </c>
      <c r="V20" s="157" t="s">
        <v>15</v>
      </c>
      <c r="W20" s="157" t="s">
        <v>16</v>
      </c>
      <c r="X20" s="158"/>
      <c r="Y20" s="156"/>
      <c r="Z20" s="474"/>
      <c r="AA20" s="474"/>
      <c r="AB20" s="474"/>
      <c r="AC20" s="474"/>
      <c r="AD20" s="474"/>
      <c r="AE20" s="157"/>
      <c r="AF20" s="157"/>
      <c r="AG20" s="157"/>
      <c r="AH20" s="157"/>
      <c r="AI20" s="157"/>
    </row>
    <row r="21" spans="1:35" ht="24" customHeight="1" x14ac:dyDescent="0.2">
      <c r="A21" s="159" t="str">
        <f>+A7</f>
        <v xml:space="preserve"> </v>
      </c>
      <c r="B21" s="131"/>
      <c r="C21" s="131"/>
      <c r="D21" s="131"/>
      <c r="E21" s="131"/>
      <c r="F21" s="131"/>
      <c r="G21" s="141"/>
      <c r="H21" s="141"/>
      <c r="I21" s="141"/>
      <c r="J21" s="141"/>
      <c r="K21" s="141"/>
      <c r="L21" s="155"/>
      <c r="M21" s="159" t="str">
        <f>'Coupes Nationales'!C12</f>
        <v xml:space="preserve"> </v>
      </c>
      <c r="N21" s="131"/>
      <c r="O21" s="131"/>
      <c r="P21" s="131"/>
      <c r="Q21" s="131"/>
      <c r="R21" s="131"/>
      <c r="S21" s="141"/>
      <c r="T21" s="141"/>
      <c r="U21" s="141"/>
      <c r="V21" s="141"/>
      <c r="W21" s="141"/>
      <c r="X21" s="155"/>
      <c r="Y21" s="159"/>
      <c r="Z21" s="131"/>
      <c r="AA21" s="131"/>
      <c r="AB21" s="131"/>
      <c r="AC21" s="131"/>
      <c r="AD21" s="131"/>
      <c r="AE21" s="141"/>
      <c r="AF21" s="141"/>
      <c r="AG21" s="141"/>
      <c r="AH21" s="141"/>
      <c r="AI21" s="141"/>
    </row>
    <row r="22" spans="1:35" ht="24" customHeight="1" x14ac:dyDescent="0.2">
      <c r="A22" s="163" t="str">
        <f>'Coupes Nationales'!I10</f>
        <v/>
      </c>
      <c r="B22" s="131"/>
      <c r="C22" s="131"/>
      <c r="D22" s="131"/>
      <c r="E22" s="131"/>
      <c r="F22" s="131"/>
      <c r="G22" s="143"/>
      <c r="H22" s="143"/>
      <c r="I22" s="143"/>
      <c r="J22" s="143"/>
      <c r="K22" s="143"/>
      <c r="L22" s="155"/>
      <c r="M22" s="159" t="str">
        <f>'Coupes Nationales'!C13</f>
        <v xml:space="preserve"> </v>
      </c>
      <c r="N22" s="131"/>
      <c r="O22" s="131"/>
      <c r="P22" s="131"/>
      <c r="Q22" s="131"/>
      <c r="R22" s="131"/>
      <c r="S22" s="143"/>
      <c r="T22" s="143"/>
      <c r="U22" s="143"/>
      <c r="V22" s="143"/>
      <c r="W22" s="143"/>
      <c r="X22" s="155"/>
      <c r="Y22" s="163"/>
      <c r="Z22" s="131"/>
      <c r="AA22" s="131"/>
      <c r="AB22" s="131"/>
      <c r="AC22" s="131"/>
      <c r="AD22" s="131"/>
      <c r="AE22" s="143"/>
      <c r="AF22" s="143"/>
      <c r="AG22" s="143"/>
      <c r="AH22" s="143"/>
      <c r="AI22" s="143"/>
    </row>
    <row r="23" spans="1:35" ht="15.75" customHeight="1" x14ac:dyDescent="0.2">
      <c r="A23" s="142" t="s">
        <v>156</v>
      </c>
      <c r="B23" s="131"/>
      <c r="C23" s="131"/>
      <c r="D23" s="131"/>
      <c r="E23" s="131"/>
      <c r="F23" s="131"/>
      <c r="G23" s="131"/>
      <c r="H23" s="131"/>
      <c r="I23" s="131"/>
      <c r="J23" s="131"/>
      <c r="K23" s="140"/>
      <c r="L23" s="155"/>
      <c r="M23" s="142" t="s">
        <v>156</v>
      </c>
      <c r="N23" s="131"/>
      <c r="O23" s="131"/>
      <c r="P23" s="131"/>
      <c r="Q23" s="131"/>
      <c r="R23" s="131"/>
      <c r="S23" s="131"/>
      <c r="T23" s="131"/>
      <c r="U23" s="131"/>
      <c r="V23" s="131"/>
      <c r="W23" s="140"/>
      <c r="X23" s="155"/>
      <c r="Y23" s="142"/>
      <c r="Z23" s="130"/>
      <c r="AA23" s="130"/>
      <c r="AB23" s="130"/>
      <c r="AC23" s="131"/>
      <c r="AD23" s="131"/>
      <c r="AE23" s="131"/>
      <c r="AF23" s="131"/>
      <c r="AG23" s="131"/>
      <c r="AH23" s="131"/>
      <c r="AI23" s="140"/>
    </row>
    <row r="24" spans="1:35" ht="24" customHeight="1" x14ac:dyDescent="0.2">
      <c r="A24" s="159" t="str">
        <f>+M10</f>
        <v xml:space="preserve"> </v>
      </c>
      <c r="B24" s="131"/>
      <c r="C24" s="131"/>
      <c r="D24" s="131"/>
      <c r="E24" s="131"/>
      <c r="F24" s="131"/>
      <c r="G24" s="141"/>
      <c r="H24" s="141"/>
      <c r="I24" s="141"/>
      <c r="J24" s="141"/>
      <c r="K24" s="141"/>
      <c r="L24" s="155"/>
      <c r="M24" s="159" t="str">
        <f>'Coupes Nationales'!Q12</f>
        <v xml:space="preserve"> </v>
      </c>
      <c r="N24" s="131"/>
      <c r="O24" s="131"/>
      <c r="P24" s="131"/>
      <c r="Q24" s="131"/>
      <c r="R24" s="131"/>
      <c r="S24" s="141"/>
      <c r="T24" s="141"/>
      <c r="U24" s="141"/>
      <c r="V24" s="141"/>
      <c r="W24" s="141"/>
      <c r="X24" s="155"/>
      <c r="Y24" s="159"/>
      <c r="Z24" s="131"/>
      <c r="AA24" s="131"/>
      <c r="AB24" s="131"/>
      <c r="AC24" s="131"/>
      <c r="AD24" s="131"/>
      <c r="AE24" s="141"/>
      <c r="AF24" s="141"/>
      <c r="AG24" s="141"/>
      <c r="AH24" s="141"/>
      <c r="AI24" s="141"/>
    </row>
    <row r="25" spans="1:35" ht="24" customHeight="1" x14ac:dyDescent="0.2">
      <c r="A25" s="163" t="str">
        <f>'Coupes Nationales'!X11</f>
        <v/>
      </c>
      <c r="B25" s="131"/>
      <c r="C25" s="131"/>
      <c r="D25" s="131"/>
      <c r="E25" s="131"/>
      <c r="F25" s="131"/>
      <c r="G25" s="143"/>
      <c r="H25" s="143"/>
      <c r="I25" s="143"/>
      <c r="J25" s="143"/>
      <c r="K25" s="143"/>
      <c r="L25" s="155"/>
      <c r="M25" s="159" t="str">
        <f>'Coupes Nationales'!Q13</f>
        <v xml:space="preserve"> </v>
      </c>
      <c r="N25" s="131"/>
      <c r="O25" s="131"/>
      <c r="P25" s="131"/>
      <c r="Q25" s="131"/>
      <c r="R25" s="131"/>
      <c r="S25" s="143"/>
      <c r="T25" s="143"/>
      <c r="U25" s="143"/>
      <c r="V25" s="143"/>
      <c r="W25" s="143"/>
      <c r="X25" s="155"/>
      <c r="Y25" s="163"/>
      <c r="Z25" s="131"/>
      <c r="AA25" s="131"/>
      <c r="AB25" s="131"/>
      <c r="AC25" s="131"/>
      <c r="AD25" s="131"/>
      <c r="AE25" s="143"/>
      <c r="AF25" s="143"/>
      <c r="AG25" s="143"/>
      <c r="AH25" s="143"/>
      <c r="AI25" s="143"/>
    </row>
    <row r="26" spans="1:35" ht="21" customHeight="1" x14ac:dyDescent="0.2">
      <c r="A26" s="144" t="s">
        <v>406</v>
      </c>
      <c r="B26" s="131" t="s">
        <v>411</v>
      </c>
      <c r="C26" s="131" t="str">
        <f>'Coupes Nationales'!C11</f>
        <v xml:space="preserve"> </v>
      </c>
      <c r="D26" s="131"/>
      <c r="E26" s="131"/>
      <c r="F26" s="131"/>
      <c r="G26" s="131"/>
      <c r="H26" s="131"/>
      <c r="I26" s="131"/>
      <c r="J26" s="131"/>
      <c r="K26" s="139"/>
      <c r="L26" s="155"/>
      <c r="M26" s="144" t="s">
        <v>406</v>
      </c>
      <c r="N26" s="131"/>
      <c r="O26" s="131"/>
      <c r="P26" s="131"/>
      <c r="Q26" s="131"/>
      <c r="R26" s="131"/>
      <c r="S26" s="131"/>
      <c r="T26" s="131"/>
      <c r="U26" s="131"/>
      <c r="V26" s="131"/>
      <c r="W26" s="139"/>
      <c r="X26" s="155"/>
      <c r="Y26" s="144"/>
      <c r="Z26" s="130"/>
      <c r="AA26" s="145"/>
      <c r="AB26" s="145"/>
      <c r="AC26" s="131"/>
      <c r="AD26" s="131"/>
      <c r="AE26" s="131"/>
      <c r="AF26" s="131"/>
      <c r="AG26" s="131"/>
      <c r="AH26" s="131"/>
      <c r="AI26" s="139"/>
    </row>
    <row r="27" spans="1:35" ht="21" customHeight="1" x14ac:dyDescent="0.2">
      <c r="A27" s="146"/>
      <c r="B27" s="147"/>
      <c r="C27" s="147"/>
      <c r="D27" s="147"/>
      <c r="E27" s="147"/>
      <c r="F27" s="147"/>
      <c r="G27" s="147"/>
      <c r="H27" s="147"/>
      <c r="I27" s="147"/>
      <c r="J27" s="147"/>
      <c r="K27" s="148"/>
      <c r="L27" s="155"/>
      <c r="M27" s="146"/>
      <c r="N27" s="147"/>
      <c r="O27" s="147"/>
      <c r="P27" s="147"/>
      <c r="Q27" s="147"/>
      <c r="R27" s="147"/>
      <c r="S27" s="147"/>
      <c r="T27" s="147"/>
      <c r="U27" s="147"/>
      <c r="V27" s="147"/>
      <c r="W27" s="148"/>
      <c r="X27" s="155"/>
      <c r="Y27" s="146"/>
      <c r="Z27" s="147"/>
      <c r="AA27" s="147"/>
      <c r="AB27" s="147"/>
      <c r="AC27" s="147"/>
      <c r="AD27" s="147"/>
      <c r="AE27" s="147"/>
      <c r="AF27" s="147"/>
      <c r="AG27" s="147"/>
      <c r="AH27" s="147"/>
      <c r="AI27" s="148"/>
    </row>
    <row r="28" spans="1:35" ht="2" customHeight="1" x14ac:dyDescent="0.2">
      <c r="A28" s="155"/>
      <c r="B28" s="155"/>
      <c r="C28" s="155"/>
      <c r="D28" s="155"/>
      <c r="E28" s="155"/>
      <c r="F28" s="155"/>
      <c r="G28" s="155"/>
      <c r="H28" s="155"/>
      <c r="I28" s="155"/>
      <c r="J28" s="155"/>
      <c r="K28" s="155"/>
      <c r="L28" s="155"/>
      <c r="M28" s="155"/>
      <c r="N28" s="155"/>
      <c r="O28" s="155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5"/>
      <c r="AG28" s="155"/>
      <c r="AH28" s="155"/>
      <c r="AI28" s="155"/>
    </row>
    <row r="29" spans="1:35" ht="2" customHeight="1" x14ac:dyDescent="0.2">
      <c r="A29" s="155"/>
      <c r="B29" s="155"/>
      <c r="C29" s="155"/>
      <c r="D29" s="155"/>
      <c r="E29" s="155"/>
      <c r="F29" s="155"/>
      <c r="G29" s="155"/>
      <c r="H29" s="155"/>
      <c r="I29" s="155"/>
      <c r="J29" s="155"/>
      <c r="K29" s="155"/>
      <c r="L29" s="155"/>
      <c r="M29" s="155"/>
      <c r="N29" s="155"/>
      <c r="O29" s="155"/>
      <c r="P29" s="155"/>
      <c r="Q29" s="155"/>
      <c r="R29" s="155"/>
      <c r="S29" s="155"/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155"/>
      <c r="AG29" s="155"/>
      <c r="AH29" s="155"/>
      <c r="AI29" s="155"/>
    </row>
    <row r="30" spans="1:35" ht="21" customHeight="1" x14ac:dyDescent="0.2">
      <c r="A30" s="469" t="s">
        <v>437</v>
      </c>
      <c r="B30" s="469"/>
      <c r="C30" s="469"/>
      <c r="D30" s="469"/>
      <c r="E30" s="469"/>
      <c r="F30" s="469"/>
      <c r="G30" s="469"/>
      <c r="H30" s="469"/>
      <c r="I30" s="469"/>
      <c r="J30" s="469"/>
      <c r="K30" s="469"/>
      <c r="L30" s="151"/>
      <c r="M30" s="469" t="s">
        <v>437</v>
      </c>
      <c r="N30" s="469"/>
      <c r="O30" s="469"/>
      <c r="P30" s="469"/>
      <c r="Q30" s="469"/>
      <c r="R30" s="469"/>
      <c r="S30" s="469"/>
      <c r="T30" s="469"/>
      <c r="U30" s="469"/>
      <c r="V30" s="469"/>
      <c r="W30" s="469"/>
      <c r="X30" s="151"/>
      <c r="Y30" s="469" t="s">
        <v>437</v>
      </c>
      <c r="Z30" s="469"/>
      <c r="AA30" s="469"/>
      <c r="AB30" s="469"/>
      <c r="AC30" s="469"/>
      <c r="AD30" s="469"/>
      <c r="AE30" s="469"/>
      <c r="AF30" s="469"/>
      <c r="AG30" s="469"/>
      <c r="AH30" s="469"/>
      <c r="AI30" s="469"/>
    </row>
    <row r="31" spans="1:35" ht="21" customHeight="1" x14ac:dyDescent="0.2">
      <c r="A31" s="129"/>
      <c r="B31" s="470" t="s">
        <v>437</v>
      </c>
      <c r="C31" s="470"/>
      <c r="D31" s="470"/>
      <c r="E31" s="470"/>
      <c r="F31" s="470"/>
      <c r="G31" s="130" t="s">
        <v>28</v>
      </c>
      <c r="H31" s="133" t="s">
        <v>437</v>
      </c>
      <c r="I31" s="131" t="s">
        <v>427</v>
      </c>
      <c r="J31" s="131"/>
      <c r="K31" s="132" t="s">
        <v>437</v>
      </c>
      <c r="L31" s="152"/>
      <c r="M31" s="129"/>
      <c r="N31" s="470" t="s">
        <v>437</v>
      </c>
      <c r="O31" s="470"/>
      <c r="P31" s="470"/>
      <c r="Q31" s="470"/>
      <c r="R31" s="470"/>
      <c r="S31" s="130" t="s">
        <v>28</v>
      </c>
      <c r="T31" s="133" t="s">
        <v>437</v>
      </c>
      <c r="U31" s="131" t="s">
        <v>427</v>
      </c>
      <c r="V31" s="131"/>
      <c r="W31" s="132" t="s">
        <v>437</v>
      </c>
      <c r="X31" s="152"/>
      <c r="Y31" s="129"/>
      <c r="Z31" s="131"/>
      <c r="AA31" s="131"/>
      <c r="AB31" s="131"/>
      <c r="AC31" s="470"/>
      <c r="AD31" s="470"/>
      <c r="AE31" s="130" t="s">
        <v>28</v>
      </c>
      <c r="AF31" s="133"/>
      <c r="AG31" s="131" t="s">
        <v>427</v>
      </c>
      <c r="AH31" s="131"/>
      <c r="AI31" s="132"/>
    </row>
    <row r="32" spans="1:35" ht="21" customHeight="1" x14ac:dyDescent="0.2">
      <c r="A32" s="475" t="s">
        <v>437</v>
      </c>
      <c r="B32" s="475"/>
      <c r="C32" s="475"/>
      <c r="D32" s="475"/>
      <c r="E32" s="475"/>
      <c r="F32" s="475"/>
      <c r="G32" s="147" t="s">
        <v>426</v>
      </c>
      <c r="H32" s="468" t="s">
        <v>437</v>
      </c>
      <c r="I32" s="468"/>
      <c r="J32" s="468"/>
      <c r="K32" s="468"/>
      <c r="L32" s="160"/>
      <c r="M32" s="475" t="s">
        <v>437</v>
      </c>
      <c r="N32" s="475"/>
      <c r="O32" s="475"/>
      <c r="P32" s="475"/>
      <c r="Q32" s="475"/>
      <c r="R32" s="475"/>
      <c r="S32" s="147" t="s">
        <v>426</v>
      </c>
      <c r="T32" s="468" t="s">
        <v>437</v>
      </c>
      <c r="U32" s="468"/>
      <c r="V32" s="468"/>
      <c r="W32" s="468"/>
      <c r="X32" s="160"/>
      <c r="Y32" s="475" t="s">
        <v>437</v>
      </c>
      <c r="Z32" s="475"/>
      <c r="AA32" s="475"/>
      <c r="AB32" s="475"/>
      <c r="AC32" s="475"/>
      <c r="AD32" s="475"/>
      <c r="AE32" s="153" t="s">
        <v>426</v>
      </c>
      <c r="AF32" s="468" t="s">
        <v>437</v>
      </c>
      <c r="AG32" s="468"/>
      <c r="AH32" s="468"/>
      <c r="AI32" s="468"/>
    </row>
    <row r="33" spans="1:35" ht="21" customHeight="1" thickBot="1" x14ac:dyDescent="0.25">
      <c r="A33" s="134" t="s">
        <v>29</v>
      </c>
      <c r="B33" s="472" t="s">
        <v>437</v>
      </c>
      <c r="C33" s="472"/>
      <c r="D33" s="472"/>
      <c r="E33" s="472"/>
      <c r="F33" s="472"/>
      <c r="G33" s="135"/>
      <c r="H33" s="136" t="s">
        <v>407</v>
      </c>
      <c r="I33" s="135"/>
      <c r="J33" s="135"/>
      <c r="K33" s="137"/>
      <c r="L33" s="155"/>
      <c r="M33" s="134" t="s">
        <v>29</v>
      </c>
      <c r="N33" s="472" t="s">
        <v>437</v>
      </c>
      <c r="O33" s="472"/>
      <c r="P33" s="472"/>
      <c r="Q33" s="472"/>
      <c r="R33" s="472"/>
      <c r="S33" s="135"/>
      <c r="T33" s="136" t="s">
        <v>407</v>
      </c>
      <c r="U33" s="135"/>
      <c r="V33" s="135"/>
      <c r="W33" s="137"/>
      <c r="X33" s="155"/>
      <c r="Y33" s="134" t="s">
        <v>29</v>
      </c>
      <c r="Z33" s="472" t="s">
        <v>437</v>
      </c>
      <c r="AA33" s="472"/>
      <c r="AB33" s="472"/>
      <c r="AC33" s="472"/>
      <c r="AD33" s="472"/>
      <c r="AE33" s="135"/>
      <c r="AF33" s="136" t="s">
        <v>407</v>
      </c>
      <c r="AG33" s="135"/>
      <c r="AH33" s="135"/>
      <c r="AI33" s="137"/>
    </row>
    <row r="34" spans="1:35" ht="21" customHeight="1" thickTop="1" x14ac:dyDescent="0.2">
      <c r="A34" s="129"/>
      <c r="B34" s="138"/>
      <c r="C34" s="138"/>
      <c r="D34" s="138"/>
      <c r="E34" s="138"/>
      <c r="F34" s="131"/>
      <c r="G34" s="131" t="s">
        <v>1021</v>
      </c>
      <c r="H34" s="131"/>
      <c r="I34" s="131"/>
      <c r="J34" s="131"/>
      <c r="K34" s="139"/>
      <c r="L34" s="155"/>
      <c r="M34" s="129"/>
      <c r="N34" s="138"/>
      <c r="O34" s="138"/>
      <c r="P34" s="138"/>
      <c r="Q34" s="138"/>
      <c r="R34" s="131"/>
      <c r="S34" s="131" t="s">
        <v>1021</v>
      </c>
      <c r="T34" s="131"/>
      <c r="U34" s="131"/>
      <c r="V34" s="131"/>
      <c r="W34" s="139"/>
      <c r="X34" s="155"/>
      <c r="Y34" s="129"/>
      <c r="Z34" s="131"/>
      <c r="AA34" s="131"/>
      <c r="AB34" s="131"/>
      <c r="AC34" s="138"/>
      <c r="AD34" s="131"/>
      <c r="AE34" s="131" t="s">
        <v>1021</v>
      </c>
      <c r="AF34" s="131"/>
      <c r="AG34" s="131"/>
      <c r="AH34" s="131"/>
      <c r="AI34" s="139"/>
    </row>
    <row r="35" spans="1:35" ht="21" customHeight="1" x14ac:dyDescent="0.25">
      <c r="A35" s="156" t="s">
        <v>405</v>
      </c>
      <c r="B35" s="474"/>
      <c r="C35" s="474"/>
      <c r="D35" s="474"/>
      <c r="E35" s="474"/>
      <c r="F35" s="474"/>
      <c r="G35" s="157" t="s">
        <v>12</v>
      </c>
      <c r="H35" s="157" t="s">
        <v>13</v>
      </c>
      <c r="I35" s="157" t="s">
        <v>14</v>
      </c>
      <c r="J35" s="157" t="s">
        <v>15</v>
      </c>
      <c r="K35" s="157" t="s">
        <v>16</v>
      </c>
      <c r="L35" s="158"/>
      <c r="M35" s="156" t="s">
        <v>405</v>
      </c>
      <c r="N35" s="474"/>
      <c r="O35" s="474"/>
      <c r="P35" s="474"/>
      <c r="Q35" s="474"/>
      <c r="R35" s="474"/>
      <c r="S35" s="157" t="s">
        <v>12</v>
      </c>
      <c r="T35" s="157" t="s">
        <v>13</v>
      </c>
      <c r="U35" s="157" t="s">
        <v>14</v>
      </c>
      <c r="V35" s="157" t="s">
        <v>15</v>
      </c>
      <c r="W35" s="157" t="s">
        <v>16</v>
      </c>
      <c r="X35" s="158"/>
      <c r="Y35" s="156" t="s">
        <v>405</v>
      </c>
      <c r="Z35" s="474"/>
      <c r="AA35" s="474"/>
      <c r="AB35" s="474"/>
      <c r="AC35" s="474"/>
      <c r="AD35" s="474"/>
      <c r="AE35" s="157" t="s">
        <v>12</v>
      </c>
      <c r="AF35" s="157" t="s">
        <v>13</v>
      </c>
      <c r="AG35" s="157" t="s">
        <v>14</v>
      </c>
      <c r="AH35" s="157" t="s">
        <v>15</v>
      </c>
      <c r="AI35" s="157" t="s">
        <v>16</v>
      </c>
    </row>
    <row r="36" spans="1:35" ht="24" customHeight="1" x14ac:dyDescent="0.2">
      <c r="A36" s="129"/>
      <c r="B36" s="131"/>
      <c r="C36" s="131"/>
      <c r="D36" s="131"/>
      <c r="E36" s="131"/>
      <c r="F36" s="131"/>
      <c r="G36" s="141"/>
      <c r="H36" s="141"/>
      <c r="I36" s="141"/>
      <c r="J36" s="141"/>
      <c r="K36" s="141"/>
      <c r="L36" s="155"/>
      <c r="M36" s="129"/>
      <c r="N36" s="131"/>
      <c r="O36" s="131"/>
      <c r="P36" s="131"/>
      <c r="Q36" s="131"/>
      <c r="R36" s="131"/>
      <c r="S36" s="141"/>
      <c r="T36" s="141"/>
      <c r="U36" s="141"/>
      <c r="V36" s="141"/>
      <c r="W36" s="141"/>
      <c r="X36" s="155"/>
      <c r="Y36" s="129"/>
      <c r="Z36" s="131"/>
      <c r="AA36" s="131"/>
      <c r="AB36" s="131"/>
      <c r="AC36" s="131"/>
      <c r="AD36" s="131"/>
      <c r="AE36" s="141"/>
      <c r="AF36" s="141"/>
      <c r="AG36" s="141"/>
      <c r="AH36" s="141"/>
      <c r="AI36" s="141"/>
    </row>
    <row r="37" spans="1:35" ht="24" customHeight="1" x14ac:dyDescent="0.2">
      <c r="A37" s="161"/>
      <c r="B37" s="131"/>
      <c r="C37" s="131"/>
      <c r="D37" s="131"/>
      <c r="E37" s="131"/>
      <c r="F37" s="131"/>
      <c r="G37" s="143"/>
      <c r="H37" s="143"/>
      <c r="I37" s="143"/>
      <c r="J37" s="143"/>
      <c r="K37" s="143"/>
      <c r="L37" s="155"/>
      <c r="M37" s="161"/>
      <c r="N37" s="131"/>
      <c r="O37" s="131"/>
      <c r="P37" s="131"/>
      <c r="Q37" s="131"/>
      <c r="R37" s="131"/>
      <c r="S37" s="143"/>
      <c r="T37" s="143"/>
      <c r="U37" s="143"/>
      <c r="V37" s="143"/>
      <c r="W37" s="143"/>
      <c r="X37" s="155"/>
      <c r="Y37" s="161"/>
      <c r="Z37" s="131"/>
      <c r="AA37" s="131"/>
      <c r="AB37" s="131"/>
      <c r="AC37" s="131"/>
      <c r="AD37" s="131"/>
      <c r="AE37" s="143"/>
      <c r="AF37" s="143"/>
      <c r="AG37" s="143"/>
      <c r="AH37" s="143"/>
      <c r="AI37" s="143"/>
    </row>
    <row r="38" spans="1:35" x14ac:dyDescent="0.2">
      <c r="A38" s="142" t="s">
        <v>156</v>
      </c>
      <c r="B38" s="131"/>
      <c r="C38" s="131"/>
      <c r="D38" s="131"/>
      <c r="E38" s="131"/>
      <c r="F38" s="131"/>
      <c r="G38" s="131"/>
      <c r="H38" s="131"/>
      <c r="I38" s="131"/>
      <c r="J38" s="131"/>
      <c r="K38" s="140"/>
      <c r="L38" s="155"/>
      <c r="M38" s="142" t="s">
        <v>156</v>
      </c>
      <c r="N38" s="131"/>
      <c r="O38" s="131"/>
      <c r="P38" s="131"/>
      <c r="Q38" s="131"/>
      <c r="R38" s="131"/>
      <c r="S38" s="131"/>
      <c r="T38" s="131"/>
      <c r="U38" s="131"/>
      <c r="V38" s="131"/>
      <c r="W38" s="140"/>
      <c r="X38" s="155"/>
      <c r="Y38" s="142" t="s">
        <v>156</v>
      </c>
      <c r="Z38" s="130"/>
      <c r="AA38" s="130"/>
      <c r="AB38" s="130"/>
      <c r="AC38" s="131"/>
      <c r="AD38" s="131"/>
      <c r="AE38" s="131"/>
      <c r="AF38" s="131"/>
      <c r="AG38" s="131"/>
      <c r="AH38" s="131"/>
      <c r="AI38" s="140"/>
    </row>
    <row r="39" spans="1:35" ht="24" customHeight="1" x14ac:dyDescent="0.2">
      <c r="A39" s="129"/>
      <c r="B39" s="131"/>
      <c r="C39" s="131"/>
      <c r="D39" s="131"/>
      <c r="E39" s="131"/>
      <c r="F39" s="131"/>
      <c r="G39" s="141"/>
      <c r="H39" s="141"/>
      <c r="I39" s="141"/>
      <c r="J39" s="141"/>
      <c r="K39" s="141"/>
      <c r="L39" s="155"/>
      <c r="M39" s="129"/>
      <c r="N39" s="131"/>
      <c r="O39" s="131"/>
      <c r="P39" s="131"/>
      <c r="Q39" s="131"/>
      <c r="R39" s="131"/>
      <c r="S39" s="141"/>
      <c r="T39" s="141"/>
      <c r="U39" s="141"/>
      <c r="V39" s="141"/>
      <c r="W39" s="141"/>
      <c r="X39" s="155"/>
      <c r="Y39" s="129"/>
      <c r="Z39" s="131"/>
      <c r="AA39" s="131"/>
      <c r="AB39" s="131"/>
      <c r="AC39" s="131"/>
      <c r="AD39" s="131"/>
      <c r="AE39" s="141"/>
      <c r="AF39" s="141"/>
      <c r="AG39" s="141"/>
      <c r="AH39" s="141"/>
      <c r="AI39" s="141"/>
    </row>
    <row r="40" spans="1:35" ht="24" customHeight="1" x14ac:dyDescent="0.2">
      <c r="A40" s="129"/>
      <c r="B40" s="131"/>
      <c r="C40" s="131"/>
      <c r="D40" s="131"/>
      <c r="E40" s="131"/>
      <c r="F40" s="131"/>
      <c r="G40" s="143"/>
      <c r="H40" s="143"/>
      <c r="I40" s="143"/>
      <c r="J40" s="143"/>
      <c r="K40" s="143"/>
      <c r="L40" s="155"/>
      <c r="M40" s="129"/>
      <c r="N40" s="131"/>
      <c r="O40" s="131"/>
      <c r="P40" s="131"/>
      <c r="Q40" s="131"/>
      <c r="R40" s="131"/>
      <c r="S40" s="143"/>
      <c r="T40" s="143"/>
      <c r="U40" s="143"/>
      <c r="V40" s="143"/>
      <c r="W40" s="143"/>
      <c r="X40" s="155"/>
      <c r="Y40" s="129"/>
      <c r="Z40" s="131"/>
      <c r="AA40" s="131"/>
      <c r="AB40" s="131"/>
      <c r="AC40" s="131"/>
      <c r="AD40" s="131"/>
      <c r="AE40" s="143"/>
      <c r="AF40" s="143"/>
      <c r="AG40" s="143"/>
      <c r="AH40" s="143"/>
      <c r="AI40" s="143"/>
    </row>
    <row r="41" spans="1:35" ht="21" customHeight="1" x14ac:dyDescent="0.2">
      <c r="A41" s="144" t="s">
        <v>406</v>
      </c>
      <c r="B41" s="131"/>
      <c r="C41" s="131"/>
      <c r="D41" s="131"/>
      <c r="E41" s="131"/>
      <c r="F41" s="131"/>
      <c r="G41" s="131"/>
      <c r="H41" s="131"/>
      <c r="I41" s="131"/>
      <c r="J41" s="131"/>
      <c r="K41" s="139"/>
      <c r="L41" s="155"/>
      <c r="M41" s="144" t="s">
        <v>406</v>
      </c>
      <c r="N41" s="131"/>
      <c r="O41" s="131"/>
      <c r="P41" s="131"/>
      <c r="Q41" s="131"/>
      <c r="R41" s="131"/>
      <c r="S41" s="131"/>
      <c r="T41" s="131"/>
      <c r="U41" s="131"/>
      <c r="V41" s="131"/>
      <c r="W41" s="139"/>
      <c r="X41" s="155"/>
      <c r="Y41" s="144" t="s">
        <v>406</v>
      </c>
      <c r="Z41" s="145"/>
      <c r="AA41" s="145"/>
      <c r="AB41" s="145"/>
      <c r="AC41" s="131"/>
      <c r="AD41" s="131"/>
      <c r="AE41" s="131"/>
      <c r="AF41" s="131"/>
      <c r="AG41" s="131"/>
      <c r="AH41" s="131"/>
      <c r="AI41" s="139"/>
    </row>
    <row r="42" spans="1:35" ht="21" customHeight="1" x14ac:dyDescent="0.2">
      <c r="A42" s="146"/>
      <c r="B42" s="147"/>
      <c r="C42" s="147"/>
      <c r="D42" s="147"/>
      <c r="E42" s="147"/>
      <c r="F42" s="147"/>
      <c r="G42" s="147"/>
      <c r="H42" s="147"/>
      <c r="I42" s="147"/>
      <c r="J42" s="147"/>
      <c r="K42" s="148"/>
      <c r="L42" s="155"/>
      <c r="M42" s="146"/>
      <c r="N42" s="147"/>
      <c r="O42" s="147"/>
      <c r="P42" s="147"/>
      <c r="Q42" s="147"/>
      <c r="R42" s="147"/>
      <c r="S42" s="147"/>
      <c r="T42" s="147"/>
      <c r="U42" s="147"/>
      <c r="V42" s="147"/>
      <c r="W42" s="148"/>
      <c r="X42" s="155"/>
      <c r="Y42" s="146"/>
      <c r="Z42" s="147"/>
      <c r="AA42" s="147"/>
      <c r="AB42" s="147"/>
      <c r="AC42" s="147"/>
      <c r="AD42" s="147"/>
      <c r="AE42" s="147"/>
      <c r="AF42" s="147"/>
      <c r="AG42" s="147"/>
      <c r="AH42" s="147"/>
      <c r="AI42" s="148"/>
    </row>
    <row r="43" spans="1:35" ht="2" customHeight="1" x14ac:dyDescent="0.2">
      <c r="A43" s="155"/>
      <c r="B43" s="155"/>
      <c r="C43" s="155"/>
      <c r="D43" s="155"/>
      <c r="E43" s="155"/>
      <c r="F43" s="155"/>
      <c r="G43" s="155"/>
      <c r="H43" s="155"/>
      <c r="I43" s="155"/>
      <c r="J43" s="155"/>
      <c r="K43" s="155"/>
      <c r="L43" s="155"/>
      <c r="M43" s="155"/>
      <c r="N43" s="155"/>
      <c r="O43" s="155"/>
      <c r="P43" s="155"/>
      <c r="Q43" s="155"/>
      <c r="R43" s="155"/>
      <c r="S43" s="155"/>
      <c r="T43" s="155"/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  <c r="AF43" s="155"/>
      <c r="AG43" s="155"/>
      <c r="AH43" s="155"/>
      <c r="AI43" s="155"/>
    </row>
    <row r="44" spans="1:35" ht="21" customHeight="1" x14ac:dyDescent="0.2">
      <c r="A44" s="469" t="s">
        <v>437</v>
      </c>
      <c r="B44" s="469"/>
      <c r="C44" s="469"/>
      <c r="D44" s="469"/>
      <c r="E44" s="469"/>
      <c r="F44" s="469"/>
      <c r="G44" s="469"/>
      <c r="H44" s="469"/>
      <c r="I44" s="469"/>
      <c r="J44" s="469"/>
      <c r="K44" s="469"/>
      <c r="L44" s="151"/>
      <c r="M44" s="469" t="s">
        <v>437</v>
      </c>
      <c r="N44" s="469"/>
      <c r="O44" s="469"/>
      <c r="P44" s="469"/>
      <c r="Q44" s="469"/>
      <c r="R44" s="469"/>
      <c r="S44" s="469"/>
      <c r="T44" s="469"/>
      <c r="U44" s="469"/>
      <c r="V44" s="469"/>
      <c r="W44" s="469"/>
      <c r="X44" s="151"/>
      <c r="Y44" s="469" t="s">
        <v>437</v>
      </c>
      <c r="Z44" s="469"/>
      <c r="AA44" s="469"/>
      <c r="AB44" s="469"/>
      <c r="AC44" s="469"/>
      <c r="AD44" s="469"/>
      <c r="AE44" s="469"/>
      <c r="AF44" s="469"/>
      <c r="AG44" s="469"/>
      <c r="AH44" s="469"/>
      <c r="AI44" s="469"/>
    </row>
    <row r="45" spans="1:35" ht="21" customHeight="1" x14ac:dyDescent="0.2">
      <c r="A45" s="129"/>
      <c r="B45" s="131"/>
      <c r="C45" s="131"/>
      <c r="D45" s="131"/>
      <c r="E45" s="470"/>
      <c r="F45" s="470"/>
      <c r="G45" s="130" t="s">
        <v>28</v>
      </c>
      <c r="H45" s="133"/>
      <c r="I45" s="131" t="s">
        <v>427</v>
      </c>
      <c r="J45" s="131"/>
      <c r="K45" s="132"/>
      <c r="L45" s="152"/>
      <c r="M45" s="129"/>
      <c r="N45" s="131"/>
      <c r="O45" s="131"/>
      <c r="P45" s="131"/>
      <c r="Q45" s="470"/>
      <c r="R45" s="470"/>
      <c r="S45" s="130" t="s">
        <v>28</v>
      </c>
      <c r="T45" s="133"/>
      <c r="U45" s="131" t="s">
        <v>427</v>
      </c>
      <c r="V45" s="131"/>
      <c r="W45" s="132"/>
      <c r="X45" s="152"/>
      <c r="Y45" s="129"/>
      <c r="Z45" s="131"/>
      <c r="AA45" s="131"/>
      <c r="AB45" s="131"/>
      <c r="AC45" s="470"/>
      <c r="AD45" s="470"/>
      <c r="AE45" s="130" t="s">
        <v>28</v>
      </c>
      <c r="AF45" s="133"/>
      <c r="AG45" s="131" t="s">
        <v>427</v>
      </c>
      <c r="AH45" s="131"/>
      <c r="AI45" s="132"/>
    </row>
    <row r="46" spans="1:35" ht="21" customHeight="1" x14ac:dyDescent="0.2">
      <c r="A46" s="475" t="s">
        <v>437</v>
      </c>
      <c r="B46" s="475"/>
      <c r="C46" s="475"/>
      <c r="D46" s="475"/>
      <c r="E46" s="475"/>
      <c r="F46" s="475"/>
      <c r="G46" s="153" t="s">
        <v>426</v>
      </c>
      <c r="H46" s="468" t="s">
        <v>437</v>
      </c>
      <c r="I46" s="468"/>
      <c r="J46" s="468"/>
      <c r="K46" s="468"/>
      <c r="L46" s="160"/>
      <c r="M46" s="475" t="s">
        <v>437</v>
      </c>
      <c r="N46" s="475"/>
      <c r="O46" s="475"/>
      <c r="P46" s="475"/>
      <c r="Q46" s="475"/>
      <c r="R46" s="475"/>
      <c r="S46" s="153" t="s">
        <v>426</v>
      </c>
      <c r="T46" s="468" t="s">
        <v>437</v>
      </c>
      <c r="U46" s="468"/>
      <c r="V46" s="468"/>
      <c r="W46" s="468"/>
      <c r="X46" s="160"/>
      <c r="Y46" s="475" t="s">
        <v>437</v>
      </c>
      <c r="Z46" s="475"/>
      <c r="AA46" s="475"/>
      <c r="AB46" s="475"/>
      <c r="AC46" s="475"/>
      <c r="AD46" s="475"/>
      <c r="AE46" s="153" t="s">
        <v>426</v>
      </c>
      <c r="AF46" s="468" t="s">
        <v>437</v>
      </c>
      <c r="AG46" s="468"/>
      <c r="AH46" s="468"/>
      <c r="AI46" s="468"/>
    </row>
    <row r="47" spans="1:35" ht="21" customHeight="1" thickBot="1" x14ac:dyDescent="0.25">
      <c r="A47" s="134" t="s">
        <v>29</v>
      </c>
      <c r="B47" s="472" t="s">
        <v>437</v>
      </c>
      <c r="C47" s="472"/>
      <c r="D47" s="472"/>
      <c r="E47" s="472"/>
      <c r="F47" s="472"/>
      <c r="G47" s="135"/>
      <c r="H47" s="136" t="s">
        <v>407</v>
      </c>
      <c r="I47" s="135"/>
      <c r="J47" s="135"/>
      <c r="K47" s="137"/>
      <c r="L47" s="155"/>
      <c r="M47" s="134" t="s">
        <v>29</v>
      </c>
      <c r="N47" s="472">
        <v>43382</v>
      </c>
      <c r="O47" s="472"/>
      <c r="P47" s="472"/>
      <c r="Q47" s="472">
        <v>43382</v>
      </c>
      <c r="R47" s="472"/>
      <c r="S47" s="135"/>
      <c r="T47" s="136" t="s">
        <v>407</v>
      </c>
      <c r="U47" s="135"/>
      <c r="V47" s="135"/>
      <c r="W47" s="137"/>
      <c r="X47" s="155"/>
      <c r="Y47" s="134" t="s">
        <v>29</v>
      </c>
      <c r="Z47" s="472" t="s">
        <v>437</v>
      </c>
      <c r="AA47" s="472"/>
      <c r="AB47" s="472"/>
      <c r="AC47" s="472">
        <v>43382</v>
      </c>
      <c r="AD47" s="472"/>
      <c r="AE47" s="135"/>
      <c r="AF47" s="136" t="s">
        <v>407</v>
      </c>
      <c r="AG47" s="135"/>
      <c r="AH47" s="135"/>
      <c r="AI47" s="137"/>
    </row>
    <row r="48" spans="1:35" ht="21" customHeight="1" thickTop="1" x14ac:dyDescent="0.2">
      <c r="A48" s="129"/>
      <c r="B48" s="131"/>
      <c r="C48" s="131"/>
      <c r="D48" s="131"/>
      <c r="E48" s="138"/>
      <c r="F48" s="131"/>
      <c r="G48" s="131" t="s">
        <v>1021</v>
      </c>
      <c r="H48" s="131"/>
      <c r="I48" s="131"/>
      <c r="J48" s="131"/>
      <c r="K48" s="139"/>
      <c r="L48" s="155"/>
      <c r="M48" s="129"/>
      <c r="N48" s="138"/>
      <c r="O48" s="138"/>
      <c r="P48" s="138"/>
      <c r="Q48" s="138"/>
      <c r="R48" s="131"/>
      <c r="S48" s="131" t="s">
        <v>1021</v>
      </c>
      <c r="T48" s="131"/>
      <c r="U48" s="131"/>
      <c r="V48" s="131"/>
      <c r="W48" s="139"/>
      <c r="X48" s="155"/>
      <c r="Y48" s="129"/>
      <c r="Z48" s="131"/>
      <c r="AA48" s="131"/>
      <c r="AB48" s="131"/>
      <c r="AC48" s="138"/>
      <c r="AD48" s="131"/>
      <c r="AE48" s="131" t="s">
        <v>1021</v>
      </c>
      <c r="AF48" s="131"/>
      <c r="AG48" s="131"/>
      <c r="AH48" s="131"/>
      <c r="AI48" s="139"/>
    </row>
    <row r="49" spans="1:35" ht="21" customHeight="1" x14ac:dyDescent="0.25">
      <c r="A49" s="156" t="s">
        <v>405</v>
      </c>
      <c r="B49" s="474"/>
      <c r="C49" s="474"/>
      <c r="D49" s="474"/>
      <c r="E49" s="474"/>
      <c r="F49" s="474"/>
      <c r="G49" s="157" t="s">
        <v>12</v>
      </c>
      <c r="H49" s="157" t="s">
        <v>13</v>
      </c>
      <c r="I49" s="157" t="s">
        <v>14</v>
      </c>
      <c r="J49" s="157" t="s">
        <v>15</v>
      </c>
      <c r="K49" s="157" t="s">
        <v>16</v>
      </c>
      <c r="L49" s="158"/>
      <c r="M49" s="156" t="s">
        <v>405</v>
      </c>
      <c r="N49" s="474"/>
      <c r="O49" s="474"/>
      <c r="P49" s="474"/>
      <c r="Q49" s="474"/>
      <c r="R49" s="474"/>
      <c r="S49" s="157" t="s">
        <v>12</v>
      </c>
      <c r="T49" s="157" t="s">
        <v>13</v>
      </c>
      <c r="U49" s="157" t="s">
        <v>14</v>
      </c>
      <c r="V49" s="157" t="s">
        <v>15</v>
      </c>
      <c r="W49" s="157" t="s">
        <v>16</v>
      </c>
      <c r="X49" s="158"/>
      <c r="Y49" s="156" t="s">
        <v>405</v>
      </c>
      <c r="Z49" s="474"/>
      <c r="AA49" s="474"/>
      <c r="AB49" s="474"/>
      <c r="AC49" s="474"/>
      <c r="AD49" s="474"/>
      <c r="AE49" s="157" t="s">
        <v>12</v>
      </c>
      <c r="AF49" s="157" t="s">
        <v>13</v>
      </c>
      <c r="AG49" s="157" t="s">
        <v>14</v>
      </c>
      <c r="AH49" s="157" t="s">
        <v>15</v>
      </c>
      <c r="AI49" s="157" t="s">
        <v>16</v>
      </c>
    </row>
    <row r="50" spans="1:35" ht="24" customHeight="1" x14ac:dyDescent="0.2">
      <c r="A50" s="161"/>
      <c r="B50" s="131"/>
      <c r="C50" s="131"/>
      <c r="D50" s="131"/>
      <c r="E50" s="131"/>
      <c r="F50" s="131"/>
      <c r="G50" s="141"/>
      <c r="H50" s="141"/>
      <c r="I50" s="141"/>
      <c r="J50" s="141"/>
      <c r="K50" s="141"/>
      <c r="L50" s="155"/>
      <c r="M50" s="161"/>
      <c r="N50" s="131"/>
      <c r="O50" s="131"/>
      <c r="P50" s="131"/>
      <c r="Q50" s="131"/>
      <c r="R50" s="131"/>
      <c r="S50" s="141"/>
      <c r="T50" s="141"/>
      <c r="U50" s="141"/>
      <c r="V50" s="141"/>
      <c r="W50" s="141"/>
      <c r="X50" s="155"/>
      <c r="Y50" s="161"/>
      <c r="Z50" s="131"/>
      <c r="AA50" s="131"/>
      <c r="AB50" s="131"/>
      <c r="AC50" s="131"/>
      <c r="AD50" s="131"/>
      <c r="AE50" s="141"/>
      <c r="AF50" s="141"/>
      <c r="AG50" s="141"/>
      <c r="AH50" s="141"/>
      <c r="AI50" s="141"/>
    </row>
    <row r="51" spans="1:35" ht="24" customHeight="1" x14ac:dyDescent="0.2">
      <c r="A51" s="161"/>
      <c r="B51" s="131"/>
      <c r="C51" s="131"/>
      <c r="D51" s="131"/>
      <c r="E51" s="131"/>
      <c r="F51" s="131"/>
      <c r="G51" s="143"/>
      <c r="H51" s="143"/>
      <c r="I51" s="143"/>
      <c r="J51" s="143"/>
      <c r="K51" s="143"/>
      <c r="L51" s="155"/>
      <c r="M51" s="161"/>
      <c r="N51" s="131"/>
      <c r="O51" s="131"/>
      <c r="P51" s="131"/>
      <c r="Q51" s="131"/>
      <c r="R51" s="131"/>
      <c r="S51" s="143"/>
      <c r="T51" s="143"/>
      <c r="U51" s="143"/>
      <c r="V51" s="143"/>
      <c r="W51" s="143"/>
      <c r="X51" s="155"/>
      <c r="Y51" s="161"/>
      <c r="Z51" s="131"/>
      <c r="AA51" s="131"/>
      <c r="AB51" s="131"/>
      <c r="AC51" s="131"/>
      <c r="AD51" s="131"/>
      <c r="AE51" s="143"/>
      <c r="AF51" s="143"/>
      <c r="AG51" s="143"/>
      <c r="AH51" s="143"/>
      <c r="AI51" s="143"/>
    </row>
    <row r="52" spans="1:35" x14ac:dyDescent="0.2">
      <c r="A52" s="142" t="s">
        <v>156</v>
      </c>
      <c r="B52" s="130"/>
      <c r="C52" s="130"/>
      <c r="D52" s="130"/>
      <c r="E52" s="131"/>
      <c r="F52" s="131"/>
      <c r="G52" s="131"/>
      <c r="H52" s="131"/>
      <c r="I52" s="131"/>
      <c r="J52" s="131"/>
      <c r="K52" s="140"/>
      <c r="L52" s="155"/>
      <c r="M52" s="142" t="s">
        <v>156</v>
      </c>
      <c r="N52" s="130"/>
      <c r="O52" s="130"/>
      <c r="P52" s="130"/>
      <c r="Q52" s="131"/>
      <c r="R52" s="131"/>
      <c r="S52" s="131"/>
      <c r="T52" s="131"/>
      <c r="U52" s="131"/>
      <c r="V52" s="131"/>
      <c r="W52" s="140"/>
      <c r="X52" s="155"/>
      <c r="Y52" s="142" t="s">
        <v>156</v>
      </c>
      <c r="Z52" s="130"/>
      <c r="AA52" s="130"/>
      <c r="AB52" s="130"/>
      <c r="AC52" s="131"/>
      <c r="AD52" s="131"/>
      <c r="AE52" s="131"/>
      <c r="AF52" s="131"/>
      <c r="AG52" s="131"/>
      <c r="AH52" s="131"/>
      <c r="AI52" s="140"/>
    </row>
    <row r="53" spans="1:35" ht="24" customHeight="1" x14ac:dyDescent="0.2">
      <c r="A53" s="161"/>
      <c r="B53" s="131"/>
      <c r="C53" s="131"/>
      <c r="D53" s="131"/>
      <c r="E53" s="131"/>
      <c r="F53" s="131"/>
      <c r="G53" s="141"/>
      <c r="H53" s="141"/>
      <c r="I53" s="141"/>
      <c r="J53" s="141"/>
      <c r="K53" s="141"/>
      <c r="L53" s="155"/>
      <c r="M53" s="161"/>
      <c r="N53" s="131"/>
      <c r="O53" s="131"/>
      <c r="P53" s="131"/>
      <c r="Q53" s="131"/>
      <c r="R53" s="131"/>
      <c r="S53" s="141"/>
      <c r="T53" s="141"/>
      <c r="U53" s="141"/>
      <c r="V53" s="141"/>
      <c r="W53" s="141"/>
      <c r="X53" s="155"/>
      <c r="Y53" s="161"/>
      <c r="Z53" s="131"/>
      <c r="AA53" s="131"/>
      <c r="AB53" s="131"/>
      <c r="AC53" s="131"/>
      <c r="AD53" s="131"/>
      <c r="AE53" s="141"/>
      <c r="AF53" s="141"/>
      <c r="AG53" s="141"/>
      <c r="AH53" s="141"/>
      <c r="AI53" s="141"/>
    </row>
    <row r="54" spans="1:35" ht="24" customHeight="1" x14ac:dyDescent="0.2">
      <c r="A54" s="129"/>
      <c r="B54" s="131"/>
      <c r="C54" s="131"/>
      <c r="D54" s="131"/>
      <c r="E54" s="131"/>
      <c r="F54" s="131"/>
      <c r="G54" s="143"/>
      <c r="H54" s="143"/>
      <c r="I54" s="143"/>
      <c r="J54" s="143"/>
      <c r="K54" s="143"/>
      <c r="L54" s="155"/>
      <c r="M54" s="129"/>
      <c r="N54" s="131"/>
      <c r="O54" s="131"/>
      <c r="P54" s="131"/>
      <c r="Q54" s="131"/>
      <c r="R54" s="131"/>
      <c r="S54" s="143"/>
      <c r="T54" s="143"/>
      <c r="U54" s="143"/>
      <c r="V54" s="143"/>
      <c r="W54" s="143"/>
      <c r="X54" s="155"/>
      <c r="Y54" s="129"/>
      <c r="Z54" s="131"/>
      <c r="AA54" s="131"/>
      <c r="AB54" s="131"/>
      <c r="AC54" s="131"/>
      <c r="AD54" s="131"/>
      <c r="AE54" s="143"/>
      <c r="AF54" s="143"/>
      <c r="AG54" s="143"/>
      <c r="AH54" s="143"/>
      <c r="AI54" s="143"/>
    </row>
    <row r="55" spans="1:35" ht="21" customHeight="1" x14ac:dyDescent="0.2">
      <c r="A55" s="144" t="s">
        <v>406</v>
      </c>
      <c r="B55" s="145"/>
      <c r="C55" s="145"/>
      <c r="D55" s="145"/>
      <c r="E55" s="131"/>
      <c r="F55" s="131"/>
      <c r="G55" s="131"/>
      <c r="H55" s="131"/>
      <c r="I55" s="131"/>
      <c r="J55" s="131"/>
      <c r="K55" s="139"/>
      <c r="L55" s="155"/>
      <c r="M55" s="144" t="s">
        <v>406</v>
      </c>
      <c r="N55" s="145"/>
      <c r="O55" s="145"/>
      <c r="P55" s="145"/>
      <c r="Q55" s="131"/>
      <c r="R55" s="131"/>
      <c r="S55" s="131"/>
      <c r="T55" s="131"/>
      <c r="U55" s="131"/>
      <c r="V55" s="131"/>
      <c r="W55" s="139"/>
      <c r="X55" s="155"/>
      <c r="Y55" s="144" t="s">
        <v>406</v>
      </c>
      <c r="Z55" s="145"/>
      <c r="AA55" s="145"/>
      <c r="AB55" s="145"/>
      <c r="AC55" s="131"/>
      <c r="AD55" s="131"/>
      <c r="AE55" s="131"/>
      <c r="AF55" s="131"/>
      <c r="AG55" s="131"/>
      <c r="AH55" s="131"/>
      <c r="AI55" s="139"/>
    </row>
    <row r="56" spans="1:35" ht="21" customHeight="1" x14ac:dyDescent="0.2">
      <c r="A56" s="146"/>
      <c r="B56" s="147"/>
      <c r="C56" s="147"/>
      <c r="D56" s="147"/>
      <c r="E56" s="147"/>
      <c r="F56" s="147"/>
      <c r="G56" s="147"/>
      <c r="H56" s="147"/>
      <c r="I56" s="147"/>
      <c r="J56" s="147"/>
      <c r="K56" s="148"/>
      <c r="L56" s="155"/>
      <c r="M56" s="146"/>
      <c r="N56" s="147"/>
      <c r="O56" s="147"/>
      <c r="P56" s="147"/>
      <c r="Q56" s="147"/>
      <c r="R56" s="147"/>
      <c r="S56" s="147"/>
      <c r="T56" s="147"/>
      <c r="U56" s="147"/>
      <c r="V56" s="147"/>
      <c r="W56" s="148"/>
      <c r="X56" s="155"/>
      <c r="Y56" s="146"/>
      <c r="Z56" s="147"/>
      <c r="AA56" s="147"/>
      <c r="AB56" s="147"/>
      <c r="AC56" s="147"/>
      <c r="AD56" s="147"/>
      <c r="AE56" s="147"/>
      <c r="AF56" s="147"/>
      <c r="AG56" s="147"/>
      <c r="AH56" s="147"/>
      <c r="AI56" s="148"/>
    </row>
  </sheetData>
  <mergeCells count="72">
    <mergeCell ref="B47:F47"/>
    <mergeCell ref="N47:R47"/>
    <mergeCell ref="Z47:AD47"/>
    <mergeCell ref="B49:F49"/>
    <mergeCell ref="N49:R49"/>
    <mergeCell ref="Z49:AD49"/>
    <mergeCell ref="AF46:AI46"/>
    <mergeCell ref="A44:K44"/>
    <mergeCell ref="M44:W44"/>
    <mergeCell ref="Y44:AI44"/>
    <mergeCell ref="E45:F45"/>
    <mergeCell ref="Q45:R45"/>
    <mergeCell ref="AC45:AD45"/>
    <mergeCell ref="A46:F46"/>
    <mergeCell ref="H46:K46"/>
    <mergeCell ref="M46:R46"/>
    <mergeCell ref="T46:W46"/>
    <mergeCell ref="Y46:AD46"/>
    <mergeCell ref="B33:F33"/>
    <mergeCell ref="N33:R33"/>
    <mergeCell ref="Z33:AD33"/>
    <mergeCell ref="B35:F35"/>
    <mergeCell ref="N35:R35"/>
    <mergeCell ref="Z35:AD35"/>
    <mergeCell ref="AF32:AI32"/>
    <mergeCell ref="A30:K30"/>
    <mergeCell ref="M30:W30"/>
    <mergeCell ref="Y30:AI30"/>
    <mergeCell ref="B31:F31"/>
    <mergeCell ref="N31:R31"/>
    <mergeCell ref="AC31:AD31"/>
    <mergeCell ref="A32:F32"/>
    <mergeCell ref="H32:K32"/>
    <mergeCell ref="M32:R32"/>
    <mergeCell ref="T32:W32"/>
    <mergeCell ref="Y32:AD32"/>
    <mergeCell ref="B18:F18"/>
    <mergeCell ref="N18:R18"/>
    <mergeCell ref="Z18:AD18"/>
    <mergeCell ref="B20:F20"/>
    <mergeCell ref="N20:R20"/>
    <mergeCell ref="Z20:AD20"/>
    <mergeCell ref="AF17:AI17"/>
    <mergeCell ref="A15:K15"/>
    <mergeCell ref="M15:W15"/>
    <mergeCell ref="Y15:AI15"/>
    <mergeCell ref="B16:F16"/>
    <mergeCell ref="N16:R16"/>
    <mergeCell ref="AC16:AD16"/>
    <mergeCell ref="A17:F17"/>
    <mergeCell ref="H17:K17"/>
    <mergeCell ref="M17:R17"/>
    <mergeCell ref="T17:W17"/>
    <mergeCell ref="Y17:AD17"/>
    <mergeCell ref="B4:F4"/>
    <mergeCell ref="N4:R4"/>
    <mergeCell ref="Z4:AD4"/>
    <mergeCell ref="B6:F6"/>
    <mergeCell ref="N6:R6"/>
    <mergeCell ref="Z6:AD6"/>
    <mergeCell ref="AF3:AI3"/>
    <mergeCell ref="A1:K1"/>
    <mergeCell ref="M1:W1"/>
    <mergeCell ref="Y1:AI1"/>
    <mergeCell ref="B2:F2"/>
    <mergeCell ref="N2:R2"/>
    <mergeCell ref="AC2:AD2"/>
    <mergeCell ref="A3:F3"/>
    <mergeCell ref="H3:K3"/>
    <mergeCell ref="M3:R3"/>
    <mergeCell ref="T3:W3"/>
    <mergeCell ref="Y3:AD3"/>
  </mergeCells>
  <pageMargins left="0.19685039370078741" right="0.19685039370078741" top="0.15748031496062992" bottom="0.15748031496062992" header="0.11811023622047245" footer="0.11811023622047245"/>
  <pageSetup paperSize="9" scale="65" fitToHeight="2" orientation="landscape" r:id="rId1"/>
  <headerFooter>
    <oddHeader>&amp;C&amp;"Calibri"&amp;10&amp;KFF8C00C2 - Confidential&amp;1#</oddHeader>
  </headerFooter>
  <rowBreaks count="1" manualBreakCount="1">
    <brk id="28" max="34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Feuil4" filterMode="1">
    <tabColor rgb="FF00B050"/>
    <pageSetUpPr fitToPage="1"/>
  </sheetPr>
  <dimension ref="A1:V748"/>
  <sheetViews>
    <sheetView showGridLines="0" zoomScale="85" zoomScaleNormal="85" workbookViewId="0">
      <pane ySplit="2" topLeftCell="A494" activePane="bottomLeft" state="frozen"/>
      <selection activeCell="H14" sqref="H14"/>
      <selection pane="bottomLeft" activeCell="A483" sqref="A483:XFD483"/>
    </sheetView>
  </sheetViews>
  <sheetFormatPr baseColWidth="10" defaultRowHeight="16" outlineLevelCol="1" x14ac:dyDescent="0.2"/>
  <cols>
    <col min="1" max="1" width="26.6640625" style="10" customWidth="1"/>
    <col min="2" max="2" width="17.1640625" customWidth="1" outlineLevel="1"/>
    <col min="3" max="3" width="29.6640625" bestFit="1" customWidth="1"/>
    <col min="4" max="4" width="22.33203125" bestFit="1" customWidth="1"/>
    <col min="5" max="5" width="16.6640625" bestFit="1" customWidth="1"/>
    <col min="6" max="6" width="15.5" bestFit="1" customWidth="1"/>
    <col min="7" max="7" width="30.1640625" bestFit="1" customWidth="1"/>
    <col min="8" max="15" width="1.33203125" customWidth="1"/>
    <col min="16" max="16" width="15.6640625" hidden="1" customWidth="1" outlineLevel="1"/>
    <col min="17" max="17" width="14.33203125" hidden="1" customWidth="1" outlineLevel="1"/>
    <col min="18" max="18" width="11" hidden="1" customWidth="1" outlineLevel="1"/>
    <col min="19" max="19" width="14.6640625" hidden="1" customWidth="1" outlineLevel="1"/>
    <col min="20" max="20" width="11.5" hidden="1" customWidth="1" outlineLevel="1"/>
    <col min="21" max="21" width="18" hidden="1" customWidth="1" outlineLevel="1"/>
    <col min="22" max="22" width="11.1640625" collapsed="1"/>
  </cols>
  <sheetData>
    <row r="1" spans="1:21" x14ac:dyDescent="0.2">
      <c r="A1" s="12" t="s">
        <v>227</v>
      </c>
    </row>
    <row r="2" spans="1:21" ht="19" x14ac:dyDescent="0.25">
      <c r="A2" s="11" t="s">
        <v>158</v>
      </c>
      <c r="B2" s="11" t="s">
        <v>152</v>
      </c>
      <c r="C2" s="11" t="s">
        <v>25</v>
      </c>
      <c r="D2" s="11" t="s">
        <v>26</v>
      </c>
      <c r="E2" s="11" t="s">
        <v>24</v>
      </c>
      <c r="F2" s="11" t="s">
        <v>153</v>
      </c>
      <c r="G2" s="11" t="s">
        <v>489</v>
      </c>
      <c r="P2" s="11" t="str">
        <f>B2</f>
        <v>Code Joueur</v>
      </c>
      <c r="Q2" s="11" t="str">
        <f>C2</f>
        <v>NOM</v>
      </c>
      <c r="R2" s="11" t="str">
        <f>D2</f>
        <v>PRENOM</v>
      </c>
      <c r="S2" s="11" t="str">
        <f>E2</f>
        <v>Classement</v>
      </c>
      <c r="T2" s="11" t="str">
        <f>F2</f>
        <v>N° Licence</v>
      </c>
      <c r="U2" s="24" t="s">
        <v>226</v>
      </c>
    </row>
    <row r="3" spans="1:21" hidden="1" x14ac:dyDescent="0.2">
      <c r="A3" s="186" t="s">
        <v>141</v>
      </c>
      <c r="B3" s="128">
        <f t="shared" ref="B3:B33" si="0">IF(A3=A2,B2+1,1)</f>
        <v>1</v>
      </c>
      <c r="C3" s="128" t="s">
        <v>1067</v>
      </c>
      <c r="D3" s="128" t="s">
        <v>1089</v>
      </c>
      <c r="E3" s="127">
        <v>500</v>
      </c>
      <c r="F3" s="127">
        <v>97101615</v>
      </c>
      <c r="G3" s="127" t="s">
        <v>1856</v>
      </c>
      <c r="H3" s="187"/>
      <c r="I3" s="187"/>
      <c r="P3" t="str">
        <f t="shared" ref="P3:P34" si="1">A3&amp;B3</f>
        <v>BUSSY1</v>
      </c>
      <c r="Q3" t="str">
        <f t="shared" ref="Q3:Q66" si="2">C3</f>
        <v>ATRIDE</v>
      </c>
      <c r="R3" t="str">
        <f t="shared" ref="R3:R66" si="3">D3</f>
        <v>Edwin</v>
      </c>
      <c r="S3">
        <f t="shared" ref="S3:S66" si="4">E3</f>
        <v>500</v>
      </c>
      <c r="T3">
        <f t="shared" ref="T3:T66" si="5">F3</f>
        <v>97101615</v>
      </c>
      <c r="U3" t="s">
        <v>1109</v>
      </c>
    </row>
    <row r="4" spans="1:21" hidden="1" x14ac:dyDescent="0.2">
      <c r="A4" s="186" t="s">
        <v>141</v>
      </c>
      <c r="B4" s="128">
        <f t="shared" si="0"/>
        <v>2</v>
      </c>
      <c r="C4" s="128" t="s">
        <v>34</v>
      </c>
      <c r="D4" s="128" t="s">
        <v>278</v>
      </c>
      <c r="E4" s="127">
        <v>500</v>
      </c>
      <c r="F4" s="127">
        <v>51215116</v>
      </c>
      <c r="G4" s="127" t="s">
        <v>1643</v>
      </c>
      <c r="H4" s="187"/>
      <c r="I4" s="187"/>
      <c r="P4" t="str">
        <f t="shared" si="1"/>
        <v>BUSSY2</v>
      </c>
      <c r="Q4" t="str">
        <f t="shared" si="2"/>
        <v>BARNIER</v>
      </c>
      <c r="R4" t="str">
        <f t="shared" si="3"/>
        <v>Stephane</v>
      </c>
      <c r="S4">
        <f t="shared" si="4"/>
        <v>500</v>
      </c>
      <c r="T4">
        <f t="shared" si="5"/>
        <v>51215116</v>
      </c>
      <c r="U4" t="s">
        <v>159</v>
      </c>
    </row>
    <row r="5" spans="1:21" hidden="1" x14ac:dyDescent="0.2">
      <c r="A5" s="186" t="s">
        <v>141</v>
      </c>
      <c r="B5" s="128">
        <f t="shared" si="0"/>
        <v>3</v>
      </c>
      <c r="C5" s="128" t="s">
        <v>35</v>
      </c>
      <c r="D5" s="128" t="s">
        <v>279</v>
      </c>
      <c r="E5" s="127">
        <v>682</v>
      </c>
      <c r="F5" s="127">
        <v>55355024</v>
      </c>
      <c r="G5" s="127" t="s">
        <v>1643</v>
      </c>
      <c r="H5" s="187"/>
      <c r="I5" s="187"/>
      <c r="P5" t="str">
        <f t="shared" si="1"/>
        <v>BUSSY3</v>
      </c>
      <c r="Q5" t="str">
        <f t="shared" si="2"/>
        <v>BONNEVIALE</v>
      </c>
      <c r="R5" t="str">
        <f t="shared" si="3"/>
        <v>Dominique</v>
      </c>
      <c r="S5">
        <f t="shared" si="4"/>
        <v>682</v>
      </c>
      <c r="T5">
        <f t="shared" si="5"/>
        <v>55355024</v>
      </c>
      <c r="U5" t="s">
        <v>160</v>
      </c>
    </row>
    <row r="6" spans="1:21" hidden="1" x14ac:dyDescent="0.2">
      <c r="A6" s="186" t="s">
        <v>141</v>
      </c>
      <c r="B6" s="128">
        <f t="shared" si="0"/>
        <v>4</v>
      </c>
      <c r="C6" s="128" t="s">
        <v>1064</v>
      </c>
      <c r="D6" s="128" t="s">
        <v>293</v>
      </c>
      <c r="E6" s="127">
        <v>507</v>
      </c>
      <c r="F6" s="127">
        <v>55363528</v>
      </c>
      <c r="G6" s="127" t="s">
        <v>1643</v>
      </c>
      <c r="H6" s="187"/>
      <c r="I6" s="187"/>
      <c r="P6" t="str">
        <f t="shared" si="1"/>
        <v>BUSSY4</v>
      </c>
      <c r="Q6" t="str">
        <f t="shared" si="2"/>
        <v>CAUSSANEL</v>
      </c>
      <c r="R6" t="str">
        <f t="shared" si="3"/>
        <v>Christophe</v>
      </c>
      <c r="S6">
        <f t="shared" si="4"/>
        <v>507</v>
      </c>
      <c r="T6">
        <f t="shared" si="5"/>
        <v>55363528</v>
      </c>
      <c r="U6" t="s">
        <v>1133</v>
      </c>
    </row>
    <row r="7" spans="1:21" hidden="1" x14ac:dyDescent="0.2">
      <c r="A7" s="186" t="s">
        <v>141</v>
      </c>
      <c r="B7" s="128">
        <f t="shared" si="0"/>
        <v>5</v>
      </c>
      <c r="C7" s="128" t="s">
        <v>1065</v>
      </c>
      <c r="D7" s="128" t="s">
        <v>1086</v>
      </c>
      <c r="E7" s="127">
        <v>500</v>
      </c>
      <c r="F7" s="127">
        <v>97101616</v>
      </c>
      <c r="G7" s="127" t="s">
        <v>1856</v>
      </c>
      <c r="H7" s="187"/>
      <c r="I7" s="187"/>
      <c r="P7" t="str">
        <f t="shared" si="1"/>
        <v>BUSSY5</v>
      </c>
      <c r="Q7" t="str">
        <f t="shared" si="2"/>
        <v>CHANG</v>
      </c>
      <c r="R7" t="str">
        <f t="shared" si="3"/>
        <v>Bour</v>
      </c>
      <c r="S7">
        <f t="shared" si="4"/>
        <v>500</v>
      </c>
      <c r="T7">
        <f t="shared" si="5"/>
        <v>97101616</v>
      </c>
      <c r="U7" t="s">
        <v>1105</v>
      </c>
    </row>
    <row r="8" spans="1:21" hidden="1" x14ac:dyDescent="0.2">
      <c r="A8" s="186" t="s">
        <v>141</v>
      </c>
      <c r="B8" s="128">
        <f t="shared" si="0"/>
        <v>6</v>
      </c>
      <c r="C8" s="128" t="s">
        <v>1065</v>
      </c>
      <c r="D8" s="128" t="s">
        <v>1087</v>
      </c>
      <c r="E8" s="127">
        <v>500</v>
      </c>
      <c r="F8" s="127">
        <v>97101617</v>
      </c>
      <c r="G8" s="127" t="s">
        <v>1856</v>
      </c>
      <c r="H8" s="187"/>
      <c r="I8" s="187"/>
      <c r="P8" t="str">
        <f t="shared" si="1"/>
        <v>BUSSY6</v>
      </c>
      <c r="Q8" t="str">
        <f t="shared" si="2"/>
        <v>CHANG</v>
      </c>
      <c r="R8" t="str">
        <f t="shared" si="3"/>
        <v>Pratsanee</v>
      </c>
      <c r="S8">
        <f t="shared" si="4"/>
        <v>500</v>
      </c>
      <c r="T8">
        <f t="shared" si="5"/>
        <v>97101617</v>
      </c>
      <c r="U8" t="s">
        <v>1106</v>
      </c>
    </row>
    <row r="9" spans="1:21" hidden="1" x14ac:dyDescent="0.2">
      <c r="A9" s="186" t="s">
        <v>141</v>
      </c>
      <c r="B9" s="128">
        <f t="shared" si="0"/>
        <v>7</v>
      </c>
      <c r="C9" s="128" t="s">
        <v>1597</v>
      </c>
      <c r="D9" s="128" t="s">
        <v>321</v>
      </c>
      <c r="E9" s="127">
        <v>796</v>
      </c>
      <c r="F9" s="127">
        <v>87410745</v>
      </c>
      <c r="G9" s="127" t="s">
        <v>1856</v>
      </c>
      <c r="H9" s="187"/>
      <c r="I9" s="187"/>
      <c r="P9" t="str">
        <f t="shared" si="1"/>
        <v>BUSSY7</v>
      </c>
      <c r="Q9" t="str">
        <f t="shared" si="2"/>
        <v>DAUBY</v>
      </c>
      <c r="R9" t="str">
        <f t="shared" si="3"/>
        <v>Jean</v>
      </c>
      <c r="S9">
        <f t="shared" si="4"/>
        <v>796</v>
      </c>
      <c r="T9">
        <f t="shared" si="5"/>
        <v>87410745</v>
      </c>
      <c r="U9" t="s">
        <v>1610</v>
      </c>
    </row>
    <row r="10" spans="1:21" hidden="1" x14ac:dyDescent="0.2">
      <c r="A10" s="186" t="s">
        <v>141</v>
      </c>
      <c r="B10" s="128">
        <f t="shared" si="0"/>
        <v>8</v>
      </c>
      <c r="C10" s="128" t="s">
        <v>36</v>
      </c>
      <c r="D10" s="128" t="s">
        <v>280</v>
      </c>
      <c r="E10" s="127">
        <v>900</v>
      </c>
      <c r="F10" s="127">
        <v>87428650</v>
      </c>
      <c r="G10" s="127" t="s">
        <v>1643</v>
      </c>
      <c r="H10" s="187"/>
      <c r="I10" s="187"/>
      <c r="P10" t="str">
        <f t="shared" si="1"/>
        <v>BUSSY8</v>
      </c>
      <c r="Q10" t="str">
        <f t="shared" si="2"/>
        <v>DENY</v>
      </c>
      <c r="R10" t="str">
        <f t="shared" si="3"/>
        <v>Franck</v>
      </c>
      <c r="S10">
        <f t="shared" si="4"/>
        <v>900</v>
      </c>
      <c r="T10">
        <f t="shared" si="5"/>
        <v>87428650</v>
      </c>
      <c r="U10" t="s">
        <v>161</v>
      </c>
    </row>
    <row r="11" spans="1:21" hidden="1" x14ac:dyDescent="0.2">
      <c r="A11" s="186" t="s">
        <v>141</v>
      </c>
      <c r="B11" s="128">
        <f t="shared" si="0"/>
        <v>9</v>
      </c>
      <c r="C11" s="128" t="s">
        <v>1855</v>
      </c>
      <c r="D11" s="128" t="s">
        <v>289</v>
      </c>
      <c r="E11" s="127">
        <v>894</v>
      </c>
      <c r="F11" s="127">
        <v>53287422</v>
      </c>
      <c r="G11" s="127" t="s">
        <v>1643</v>
      </c>
      <c r="H11" s="187"/>
      <c r="I11" s="187"/>
      <c r="P11" t="str">
        <f t="shared" si="1"/>
        <v>BUSSY9</v>
      </c>
      <c r="Q11" t="str">
        <f t="shared" si="2"/>
        <v xml:space="preserve">DUPONT </v>
      </c>
      <c r="R11" t="str">
        <f t="shared" si="3"/>
        <v>Laurent</v>
      </c>
      <c r="S11">
        <f t="shared" si="4"/>
        <v>894</v>
      </c>
      <c r="T11">
        <f t="shared" si="5"/>
        <v>53287422</v>
      </c>
      <c r="U11" t="s">
        <v>1857</v>
      </c>
    </row>
    <row r="12" spans="1:21" hidden="1" x14ac:dyDescent="0.2">
      <c r="A12" s="186" t="s">
        <v>141</v>
      </c>
      <c r="B12" s="128">
        <f t="shared" si="0"/>
        <v>10</v>
      </c>
      <c r="C12" s="128" t="s">
        <v>854</v>
      </c>
      <c r="D12" s="128" t="s">
        <v>291</v>
      </c>
      <c r="E12" s="127">
        <v>725</v>
      </c>
      <c r="F12" s="127">
        <v>97092709</v>
      </c>
      <c r="G12" s="127" t="s">
        <v>1643</v>
      </c>
      <c r="H12" s="187"/>
      <c r="I12" s="187"/>
      <c r="P12" t="str">
        <f t="shared" si="1"/>
        <v>BUSSY10</v>
      </c>
      <c r="Q12" t="str">
        <f t="shared" si="2"/>
        <v>FAYS</v>
      </c>
      <c r="R12" t="str">
        <f t="shared" si="3"/>
        <v>Florian</v>
      </c>
      <c r="S12">
        <f t="shared" si="4"/>
        <v>725</v>
      </c>
      <c r="T12">
        <f t="shared" si="5"/>
        <v>97092709</v>
      </c>
      <c r="U12" t="s">
        <v>914</v>
      </c>
    </row>
    <row r="13" spans="1:21" hidden="1" x14ac:dyDescent="0.2">
      <c r="A13" s="186" t="s">
        <v>141</v>
      </c>
      <c r="B13" s="128">
        <f t="shared" si="0"/>
        <v>11</v>
      </c>
      <c r="C13" s="128" t="s">
        <v>1068</v>
      </c>
      <c r="D13" s="128" t="s">
        <v>1090</v>
      </c>
      <c r="E13" s="127">
        <v>500</v>
      </c>
      <c r="F13" s="127">
        <v>97101829</v>
      </c>
      <c r="G13" s="127" t="s">
        <v>1856</v>
      </c>
      <c r="H13" s="187"/>
      <c r="I13" s="187"/>
      <c r="P13" t="str">
        <f t="shared" si="1"/>
        <v>BUSSY11</v>
      </c>
      <c r="Q13" t="str">
        <f t="shared" si="2"/>
        <v>FLACHAIRE DE ROUSTAN</v>
      </c>
      <c r="R13" t="str">
        <f t="shared" si="3"/>
        <v>Katia</v>
      </c>
      <c r="S13">
        <f t="shared" si="4"/>
        <v>500</v>
      </c>
      <c r="T13">
        <f t="shared" si="5"/>
        <v>97101829</v>
      </c>
      <c r="U13" t="s">
        <v>1110</v>
      </c>
    </row>
    <row r="14" spans="1:21" hidden="1" x14ac:dyDescent="0.2">
      <c r="A14" s="186" t="s">
        <v>141</v>
      </c>
      <c r="B14" s="128">
        <f t="shared" si="0"/>
        <v>12</v>
      </c>
      <c r="C14" s="128" t="s">
        <v>253</v>
      </c>
      <c r="D14" s="128" t="s">
        <v>281</v>
      </c>
      <c r="E14" s="127">
        <v>639</v>
      </c>
      <c r="F14" s="127">
        <v>87410004</v>
      </c>
      <c r="G14" s="127" t="s">
        <v>1856</v>
      </c>
      <c r="H14" s="187"/>
      <c r="I14" s="187"/>
      <c r="P14" t="str">
        <f t="shared" si="1"/>
        <v>BUSSY12</v>
      </c>
      <c r="Q14" t="str">
        <f t="shared" si="2"/>
        <v>FROMENT</v>
      </c>
      <c r="R14" t="str">
        <f t="shared" si="3"/>
        <v>Nathalie</v>
      </c>
      <c r="S14">
        <f t="shared" si="4"/>
        <v>639</v>
      </c>
      <c r="T14">
        <f t="shared" si="5"/>
        <v>87410004</v>
      </c>
      <c r="U14" t="s">
        <v>531</v>
      </c>
    </row>
    <row r="15" spans="1:21" hidden="1" x14ac:dyDescent="0.2">
      <c r="A15" s="186" t="s">
        <v>141</v>
      </c>
      <c r="B15" s="128">
        <f t="shared" si="0"/>
        <v>13</v>
      </c>
      <c r="C15" s="128" t="s">
        <v>83</v>
      </c>
      <c r="D15" s="128" t="s">
        <v>293</v>
      </c>
      <c r="E15" s="127">
        <v>519</v>
      </c>
      <c r="F15" s="127">
        <v>97101618</v>
      </c>
      <c r="G15" s="127" t="s">
        <v>1643</v>
      </c>
      <c r="H15" s="187"/>
      <c r="I15" s="187"/>
      <c r="P15" t="str">
        <f t="shared" si="1"/>
        <v>BUSSY13</v>
      </c>
      <c r="Q15" t="str">
        <f t="shared" si="2"/>
        <v>LADEVE</v>
      </c>
      <c r="R15" t="str">
        <f t="shared" si="3"/>
        <v>Christophe</v>
      </c>
      <c r="S15">
        <f t="shared" si="4"/>
        <v>519</v>
      </c>
      <c r="T15">
        <f t="shared" si="5"/>
        <v>97101618</v>
      </c>
      <c r="U15" t="s">
        <v>1107</v>
      </c>
    </row>
    <row r="16" spans="1:21" hidden="1" x14ac:dyDescent="0.2">
      <c r="A16" s="186" t="s">
        <v>141</v>
      </c>
      <c r="B16" s="128">
        <f t="shared" si="0"/>
        <v>14</v>
      </c>
      <c r="C16" s="128" t="s">
        <v>792</v>
      </c>
      <c r="D16" s="128" t="s">
        <v>1781</v>
      </c>
      <c r="E16" s="127">
        <v>521</v>
      </c>
      <c r="F16" s="127">
        <v>97109471</v>
      </c>
      <c r="G16" s="127" t="s">
        <v>1643</v>
      </c>
      <c r="H16" s="187"/>
      <c r="I16" s="187"/>
      <c r="P16" t="str">
        <f t="shared" si="1"/>
        <v>BUSSY14</v>
      </c>
      <c r="Q16" t="str">
        <f t="shared" si="2"/>
        <v>LI</v>
      </c>
      <c r="R16" t="str">
        <f t="shared" si="3"/>
        <v>Sejou</v>
      </c>
      <c r="S16">
        <f t="shared" si="4"/>
        <v>521</v>
      </c>
      <c r="T16">
        <f t="shared" si="5"/>
        <v>97109471</v>
      </c>
      <c r="U16" t="s">
        <v>1812</v>
      </c>
    </row>
    <row r="17" spans="1:21" hidden="1" x14ac:dyDescent="0.2">
      <c r="A17" s="186" t="s">
        <v>141</v>
      </c>
      <c r="B17" s="128">
        <f t="shared" si="0"/>
        <v>15</v>
      </c>
      <c r="C17" s="128" t="s">
        <v>1598</v>
      </c>
      <c r="D17" s="128" t="s">
        <v>1785</v>
      </c>
      <c r="E17" s="127">
        <v>500</v>
      </c>
      <c r="F17" s="127">
        <v>97109246</v>
      </c>
      <c r="G17" s="127" t="s">
        <v>1643</v>
      </c>
      <c r="H17" s="187"/>
      <c r="I17" s="187"/>
      <c r="P17" t="str">
        <f t="shared" si="1"/>
        <v>BUSSY15</v>
      </c>
      <c r="Q17" t="str">
        <f t="shared" si="2"/>
        <v>LU</v>
      </c>
      <c r="R17" t="str">
        <f t="shared" si="3"/>
        <v>Amélie</v>
      </c>
      <c r="S17">
        <f t="shared" si="4"/>
        <v>500</v>
      </c>
      <c r="T17">
        <f t="shared" si="5"/>
        <v>97109246</v>
      </c>
      <c r="U17" t="s">
        <v>1813</v>
      </c>
    </row>
    <row r="18" spans="1:21" hidden="1" x14ac:dyDescent="0.2">
      <c r="A18" s="186" t="s">
        <v>141</v>
      </c>
      <c r="B18" s="128">
        <f t="shared" si="0"/>
        <v>16</v>
      </c>
      <c r="C18" s="128" t="s">
        <v>1598</v>
      </c>
      <c r="D18" s="128" t="s">
        <v>292</v>
      </c>
      <c r="E18" s="127">
        <v>805</v>
      </c>
      <c r="F18" s="127">
        <v>87446275</v>
      </c>
      <c r="G18" s="127" t="s">
        <v>1643</v>
      </c>
      <c r="H18" s="187"/>
      <c r="I18" s="187"/>
      <c r="P18" t="str">
        <f t="shared" si="1"/>
        <v>BUSSY16</v>
      </c>
      <c r="Q18" t="str">
        <f t="shared" si="2"/>
        <v>LU</v>
      </c>
      <c r="R18" t="str">
        <f t="shared" si="3"/>
        <v>Philippe</v>
      </c>
      <c r="S18">
        <f t="shared" si="4"/>
        <v>805</v>
      </c>
      <c r="T18">
        <f t="shared" si="5"/>
        <v>87446275</v>
      </c>
      <c r="U18" t="s">
        <v>1611</v>
      </c>
    </row>
    <row r="19" spans="1:21" hidden="1" x14ac:dyDescent="0.2">
      <c r="A19" s="186" t="s">
        <v>141</v>
      </c>
      <c r="B19" s="128">
        <f t="shared" si="0"/>
        <v>17</v>
      </c>
      <c r="C19" s="128" t="s">
        <v>1790</v>
      </c>
      <c r="D19" s="128" t="s">
        <v>1791</v>
      </c>
      <c r="E19" s="127">
        <v>500</v>
      </c>
      <c r="F19" s="127">
        <v>97109881</v>
      </c>
      <c r="G19" s="127" t="s">
        <v>1643</v>
      </c>
      <c r="H19" s="187"/>
      <c r="I19" s="187"/>
      <c r="P19" t="str">
        <f t="shared" si="1"/>
        <v>BUSSY17</v>
      </c>
      <c r="Q19" t="str">
        <f t="shared" si="2"/>
        <v>MALARD</v>
      </c>
      <c r="R19" t="str">
        <f t="shared" si="3"/>
        <v>Estelle</v>
      </c>
      <c r="S19">
        <f t="shared" si="4"/>
        <v>500</v>
      </c>
      <c r="T19">
        <f t="shared" si="5"/>
        <v>97109881</v>
      </c>
      <c r="U19" t="s">
        <v>1814</v>
      </c>
    </row>
    <row r="20" spans="1:21" hidden="1" x14ac:dyDescent="0.2">
      <c r="A20" s="186" t="s">
        <v>141</v>
      </c>
      <c r="B20" s="128">
        <f t="shared" si="0"/>
        <v>18</v>
      </c>
      <c r="C20" s="128" t="s">
        <v>1783</v>
      </c>
      <c r="D20" s="128" t="s">
        <v>1784</v>
      </c>
      <c r="E20" s="127">
        <v>554</v>
      </c>
      <c r="F20" s="127">
        <v>97101561</v>
      </c>
      <c r="G20" s="127" t="s">
        <v>1643</v>
      </c>
      <c r="H20" s="187"/>
      <c r="I20" s="187"/>
      <c r="P20" t="str">
        <f t="shared" si="1"/>
        <v>BUSSY18</v>
      </c>
      <c r="Q20" t="str">
        <f t="shared" si="2"/>
        <v>MARZOUK</v>
      </c>
      <c r="R20" t="str">
        <f t="shared" si="3"/>
        <v>Nasreddine</v>
      </c>
      <c r="S20">
        <f t="shared" si="4"/>
        <v>554</v>
      </c>
      <c r="T20">
        <f t="shared" si="5"/>
        <v>97101561</v>
      </c>
      <c r="U20" t="s">
        <v>1815</v>
      </c>
    </row>
    <row r="21" spans="1:21" hidden="1" x14ac:dyDescent="0.2">
      <c r="A21" s="186" t="s">
        <v>141</v>
      </c>
      <c r="B21" s="128">
        <f t="shared" si="0"/>
        <v>19</v>
      </c>
      <c r="C21" s="128" t="s">
        <v>852</v>
      </c>
      <c r="D21" s="128" t="s">
        <v>288</v>
      </c>
      <c r="E21" s="127">
        <v>702</v>
      </c>
      <c r="F21" s="127">
        <v>97091423</v>
      </c>
      <c r="G21" s="127" t="s">
        <v>1856</v>
      </c>
      <c r="H21" s="187"/>
      <c r="I21" s="187"/>
      <c r="P21" t="str">
        <f t="shared" si="1"/>
        <v>BUSSY19</v>
      </c>
      <c r="Q21" t="str">
        <f t="shared" si="2"/>
        <v>MONTEIRO</v>
      </c>
      <c r="R21" t="str">
        <f t="shared" si="3"/>
        <v>Paul</v>
      </c>
      <c r="S21">
        <f t="shared" si="4"/>
        <v>702</v>
      </c>
      <c r="T21">
        <f t="shared" si="5"/>
        <v>97091423</v>
      </c>
      <c r="U21" t="s">
        <v>912</v>
      </c>
    </row>
    <row r="22" spans="1:21" hidden="1" x14ac:dyDescent="0.2">
      <c r="A22" s="186" t="s">
        <v>141</v>
      </c>
      <c r="B22" s="128">
        <f t="shared" si="0"/>
        <v>20</v>
      </c>
      <c r="C22" s="128" t="s">
        <v>853</v>
      </c>
      <c r="D22" s="128" t="s">
        <v>282</v>
      </c>
      <c r="E22" s="127">
        <v>769</v>
      </c>
      <c r="F22" s="127">
        <v>87457423</v>
      </c>
      <c r="G22" s="127" t="s">
        <v>1856</v>
      </c>
      <c r="H22" s="187"/>
      <c r="I22" s="187"/>
      <c r="P22" t="str">
        <f t="shared" si="1"/>
        <v>BUSSY20</v>
      </c>
      <c r="Q22" t="str">
        <f t="shared" si="2"/>
        <v>NGO</v>
      </c>
      <c r="R22" t="str">
        <f t="shared" si="3"/>
        <v>Olivier</v>
      </c>
      <c r="S22">
        <f t="shared" si="4"/>
        <v>769</v>
      </c>
      <c r="T22">
        <f t="shared" si="5"/>
        <v>87457423</v>
      </c>
      <c r="U22" t="s">
        <v>913</v>
      </c>
    </row>
    <row r="23" spans="1:21" hidden="1" x14ac:dyDescent="0.2">
      <c r="A23" s="186" t="s">
        <v>141</v>
      </c>
      <c r="B23" s="128">
        <f t="shared" si="0"/>
        <v>21</v>
      </c>
      <c r="C23" s="128" t="s">
        <v>652</v>
      </c>
      <c r="D23" s="128" t="s">
        <v>657</v>
      </c>
      <c r="E23" s="127">
        <v>649</v>
      </c>
      <c r="F23" s="127">
        <v>87408548</v>
      </c>
      <c r="G23" s="127" t="s">
        <v>1643</v>
      </c>
      <c r="H23" s="187"/>
      <c r="I23" s="187"/>
      <c r="P23" t="str">
        <f t="shared" si="1"/>
        <v>BUSSY21</v>
      </c>
      <c r="Q23" t="str">
        <f t="shared" si="2"/>
        <v>POISNEUF</v>
      </c>
      <c r="R23" t="str">
        <f t="shared" si="3"/>
        <v>Jean-Luc</v>
      </c>
      <c r="S23">
        <f t="shared" si="4"/>
        <v>649</v>
      </c>
      <c r="T23">
        <f t="shared" si="5"/>
        <v>87408548</v>
      </c>
      <c r="U23" t="s">
        <v>664</v>
      </c>
    </row>
    <row r="24" spans="1:21" hidden="1" x14ac:dyDescent="0.2">
      <c r="A24" s="186" t="s">
        <v>141</v>
      </c>
      <c r="B24" s="128">
        <f t="shared" si="0"/>
        <v>22</v>
      </c>
      <c r="C24" s="128" t="s">
        <v>1516</v>
      </c>
      <c r="D24" s="128" t="s">
        <v>1088</v>
      </c>
      <c r="E24" s="127">
        <v>762</v>
      </c>
      <c r="F24" s="127">
        <v>97107780</v>
      </c>
      <c r="G24" s="127" t="s">
        <v>1643</v>
      </c>
      <c r="H24" s="187"/>
      <c r="I24" s="187"/>
      <c r="P24" t="str">
        <f t="shared" si="1"/>
        <v>BUSSY22</v>
      </c>
      <c r="Q24" t="str">
        <f t="shared" si="2"/>
        <v>SAISOTH</v>
      </c>
      <c r="R24" t="str">
        <f t="shared" si="3"/>
        <v>Daniel</v>
      </c>
      <c r="S24">
        <f t="shared" si="4"/>
        <v>762</v>
      </c>
      <c r="T24">
        <f t="shared" si="5"/>
        <v>97107780</v>
      </c>
      <c r="U24" t="s">
        <v>1561</v>
      </c>
    </row>
    <row r="25" spans="1:21" hidden="1" x14ac:dyDescent="0.2">
      <c r="A25" s="186" t="s">
        <v>141</v>
      </c>
      <c r="B25" s="128">
        <f t="shared" si="0"/>
        <v>23</v>
      </c>
      <c r="C25" s="128" t="s">
        <v>256</v>
      </c>
      <c r="D25" s="128" t="s">
        <v>285</v>
      </c>
      <c r="E25" s="127">
        <v>1159</v>
      </c>
      <c r="F25" s="127">
        <v>43335236</v>
      </c>
      <c r="G25" s="127" t="s">
        <v>1643</v>
      </c>
      <c r="H25" s="187"/>
      <c r="I25" s="187"/>
      <c r="P25" t="str">
        <f t="shared" si="1"/>
        <v>BUSSY23</v>
      </c>
      <c r="Q25" t="str">
        <f t="shared" si="2"/>
        <v>SIMON</v>
      </c>
      <c r="R25" t="str">
        <f t="shared" si="3"/>
        <v>Eric</v>
      </c>
      <c r="S25">
        <f t="shared" si="4"/>
        <v>1159</v>
      </c>
      <c r="T25">
        <f t="shared" si="5"/>
        <v>43335236</v>
      </c>
      <c r="U25" t="s">
        <v>532</v>
      </c>
    </row>
    <row r="26" spans="1:21" hidden="1" x14ac:dyDescent="0.2">
      <c r="A26" s="186" t="s">
        <v>141</v>
      </c>
      <c r="B26" s="128">
        <f t="shared" si="0"/>
        <v>24</v>
      </c>
      <c r="C26" s="128" t="s">
        <v>254</v>
      </c>
      <c r="D26" s="128" t="s">
        <v>344</v>
      </c>
      <c r="E26" s="127">
        <v>962</v>
      </c>
      <c r="F26" s="127">
        <v>87465788</v>
      </c>
      <c r="G26" s="127" t="s">
        <v>1643</v>
      </c>
      <c r="H26" s="187"/>
      <c r="I26" s="187"/>
      <c r="P26" t="str">
        <f t="shared" si="1"/>
        <v>BUSSY24</v>
      </c>
      <c r="Q26" t="str">
        <f t="shared" si="2"/>
        <v>SMIALKOWSKI</v>
      </c>
      <c r="R26" t="str">
        <f t="shared" si="3"/>
        <v>Raymond</v>
      </c>
      <c r="S26">
        <f t="shared" si="4"/>
        <v>962</v>
      </c>
      <c r="T26">
        <f t="shared" si="5"/>
        <v>87465788</v>
      </c>
      <c r="U26" t="s">
        <v>255</v>
      </c>
    </row>
    <row r="27" spans="1:21" hidden="1" x14ac:dyDescent="0.2">
      <c r="A27" s="186" t="s">
        <v>141</v>
      </c>
      <c r="B27" s="128">
        <f t="shared" si="0"/>
        <v>25</v>
      </c>
      <c r="C27" s="128" t="s">
        <v>1782</v>
      </c>
      <c r="D27" s="128" t="s">
        <v>1097</v>
      </c>
      <c r="E27" s="127">
        <v>591</v>
      </c>
      <c r="F27" s="127">
        <v>97054951</v>
      </c>
      <c r="G27" s="127" t="s">
        <v>1643</v>
      </c>
      <c r="H27" s="187"/>
      <c r="I27" s="187"/>
      <c r="P27" t="str">
        <f t="shared" si="1"/>
        <v>BUSSY25</v>
      </c>
      <c r="Q27" t="str">
        <f t="shared" si="2"/>
        <v>SRENG</v>
      </c>
      <c r="R27" t="str">
        <f t="shared" si="3"/>
        <v>Colin</v>
      </c>
      <c r="S27">
        <f t="shared" si="4"/>
        <v>591</v>
      </c>
      <c r="T27">
        <f t="shared" si="5"/>
        <v>97054951</v>
      </c>
      <c r="U27" t="s">
        <v>1816</v>
      </c>
    </row>
    <row r="28" spans="1:21" hidden="1" x14ac:dyDescent="0.2">
      <c r="A28" s="186" t="s">
        <v>141</v>
      </c>
      <c r="B28" s="128">
        <f t="shared" si="0"/>
        <v>26</v>
      </c>
      <c r="C28" s="128" t="s">
        <v>1787</v>
      </c>
      <c r="D28" s="128" t="s">
        <v>567</v>
      </c>
      <c r="E28" s="127">
        <v>500</v>
      </c>
      <c r="F28" s="127">
        <v>97109472</v>
      </c>
      <c r="G28" s="127" t="s">
        <v>1643</v>
      </c>
      <c r="H28" s="187"/>
      <c r="I28" s="187"/>
      <c r="P28" t="str">
        <f t="shared" si="1"/>
        <v>BUSSY26</v>
      </c>
      <c r="Q28" t="str">
        <f t="shared" si="2"/>
        <v>STRULLU</v>
      </c>
      <c r="R28" t="str">
        <f t="shared" si="3"/>
        <v>Pascale</v>
      </c>
      <c r="S28">
        <f t="shared" si="4"/>
        <v>500</v>
      </c>
      <c r="T28">
        <f t="shared" si="5"/>
        <v>97109472</v>
      </c>
      <c r="U28" t="s">
        <v>1817</v>
      </c>
    </row>
    <row r="29" spans="1:21" hidden="1" x14ac:dyDescent="0.2">
      <c r="A29" s="186" t="s">
        <v>141</v>
      </c>
      <c r="B29" s="128">
        <f t="shared" si="0"/>
        <v>27</v>
      </c>
      <c r="C29" s="128" t="s">
        <v>1786</v>
      </c>
      <c r="D29" s="128" t="s">
        <v>285</v>
      </c>
      <c r="E29" s="127">
        <v>1005</v>
      </c>
      <c r="F29" s="127">
        <v>97109473</v>
      </c>
      <c r="G29" s="127" t="s">
        <v>1643</v>
      </c>
      <c r="H29" s="187"/>
      <c r="I29" s="187"/>
      <c r="P29" t="str">
        <f t="shared" si="1"/>
        <v>BUSSY27</v>
      </c>
      <c r="Q29" t="str">
        <f t="shared" si="2"/>
        <v>THOMERT</v>
      </c>
      <c r="R29" t="str">
        <f t="shared" si="3"/>
        <v>Eric</v>
      </c>
      <c r="S29">
        <f t="shared" si="4"/>
        <v>1005</v>
      </c>
      <c r="T29">
        <f t="shared" si="5"/>
        <v>97109473</v>
      </c>
      <c r="U29" t="s">
        <v>1818</v>
      </c>
    </row>
    <row r="30" spans="1:21" hidden="1" x14ac:dyDescent="0.2">
      <c r="A30" s="186" t="s">
        <v>141</v>
      </c>
      <c r="B30" s="128">
        <f t="shared" si="0"/>
        <v>28</v>
      </c>
      <c r="C30" s="128" t="s">
        <v>648</v>
      </c>
      <c r="D30" s="128" t="s">
        <v>422</v>
      </c>
      <c r="E30" s="127">
        <v>1417</v>
      </c>
      <c r="F30" s="127">
        <v>87421121</v>
      </c>
      <c r="G30" s="127" t="s">
        <v>1856</v>
      </c>
      <c r="H30" s="187"/>
      <c r="I30" s="187"/>
      <c r="P30" t="str">
        <f t="shared" si="1"/>
        <v>BUSSY28</v>
      </c>
      <c r="Q30" t="str">
        <f t="shared" si="2"/>
        <v>TILLENAYAGANE</v>
      </c>
      <c r="R30" t="str">
        <f t="shared" si="3"/>
        <v>Senthil</v>
      </c>
      <c r="S30">
        <f t="shared" si="4"/>
        <v>1417</v>
      </c>
      <c r="T30">
        <f t="shared" si="5"/>
        <v>87421121</v>
      </c>
      <c r="U30" t="s">
        <v>533</v>
      </c>
    </row>
    <row r="31" spans="1:21" hidden="1" x14ac:dyDescent="0.2">
      <c r="A31" s="186" t="s">
        <v>141</v>
      </c>
      <c r="B31" s="128">
        <f t="shared" si="0"/>
        <v>29</v>
      </c>
      <c r="C31" s="128" t="s">
        <v>1066</v>
      </c>
      <c r="D31" s="128" t="s">
        <v>1088</v>
      </c>
      <c r="E31" s="127">
        <v>574</v>
      </c>
      <c r="F31" s="127">
        <v>97101619</v>
      </c>
      <c r="G31" s="127" t="s">
        <v>1643</v>
      </c>
      <c r="H31" s="187"/>
      <c r="I31" s="187"/>
      <c r="P31" t="str">
        <f t="shared" si="1"/>
        <v>BUSSY29</v>
      </c>
      <c r="Q31" t="str">
        <f t="shared" si="2"/>
        <v>TRANG</v>
      </c>
      <c r="R31" t="str">
        <f t="shared" si="3"/>
        <v>Daniel</v>
      </c>
      <c r="S31">
        <f t="shared" si="4"/>
        <v>574</v>
      </c>
      <c r="T31">
        <f t="shared" si="5"/>
        <v>97101619</v>
      </c>
      <c r="U31" t="s">
        <v>1108</v>
      </c>
    </row>
    <row r="32" spans="1:21" hidden="1" x14ac:dyDescent="0.2">
      <c r="A32" s="186" t="s">
        <v>141</v>
      </c>
      <c r="B32" s="128">
        <f t="shared" si="0"/>
        <v>30</v>
      </c>
      <c r="C32" s="128" t="s">
        <v>1854</v>
      </c>
      <c r="D32" s="128" t="s">
        <v>333</v>
      </c>
      <c r="E32" s="127">
        <v>500</v>
      </c>
      <c r="F32" s="127">
        <v>97109930</v>
      </c>
      <c r="G32" s="127" t="s">
        <v>1643</v>
      </c>
      <c r="H32" s="187"/>
      <c r="I32" s="187"/>
      <c r="P32" t="str">
        <f t="shared" si="1"/>
        <v>BUSSY30</v>
      </c>
      <c r="Q32" t="str">
        <f t="shared" si="2"/>
        <v>TRIGALO WOJAKOWSKI</v>
      </c>
      <c r="R32" t="str">
        <f t="shared" si="3"/>
        <v>Benjamin</v>
      </c>
      <c r="S32">
        <f t="shared" si="4"/>
        <v>500</v>
      </c>
      <c r="T32">
        <f t="shared" si="5"/>
        <v>97109930</v>
      </c>
      <c r="U32" t="s">
        <v>1858</v>
      </c>
    </row>
    <row r="33" spans="1:21" hidden="1" x14ac:dyDescent="0.2">
      <c r="A33" s="186" t="s">
        <v>141</v>
      </c>
      <c r="B33" s="128">
        <f t="shared" si="0"/>
        <v>31</v>
      </c>
      <c r="C33" s="128" t="s">
        <v>1788</v>
      </c>
      <c r="D33" s="128" t="s">
        <v>1789</v>
      </c>
      <c r="E33" s="127">
        <v>500</v>
      </c>
      <c r="F33" s="127">
        <v>97109474</v>
      </c>
      <c r="G33" s="127" t="s">
        <v>1643</v>
      </c>
      <c r="H33" s="187"/>
      <c r="I33" s="187"/>
      <c r="P33" t="str">
        <f t="shared" si="1"/>
        <v>BUSSY31</v>
      </c>
      <c r="Q33" t="str">
        <f t="shared" si="2"/>
        <v>ZHANG DEVESA</v>
      </c>
      <c r="R33" t="str">
        <f t="shared" si="3"/>
        <v>Stefano</v>
      </c>
      <c r="S33">
        <f t="shared" si="4"/>
        <v>500</v>
      </c>
      <c r="T33">
        <f t="shared" si="5"/>
        <v>97109474</v>
      </c>
      <c r="U33" t="s">
        <v>1819</v>
      </c>
    </row>
    <row r="34" spans="1:21" hidden="1" x14ac:dyDescent="0.2">
      <c r="A34" s="186" t="s">
        <v>142</v>
      </c>
      <c r="B34" s="128">
        <f>IF(A34=A31,B31+1,1)</f>
        <v>1</v>
      </c>
      <c r="C34" s="128" t="s">
        <v>633</v>
      </c>
      <c r="D34" s="128" t="s">
        <v>279</v>
      </c>
      <c r="E34" s="127">
        <v>914</v>
      </c>
      <c r="F34" s="127">
        <v>87416310</v>
      </c>
      <c r="G34" s="127" t="s">
        <v>1856</v>
      </c>
      <c r="H34" s="187"/>
      <c r="I34" s="187"/>
      <c r="P34" t="str">
        <f t="shared" si="1"/>
        <v>CHAINTREAUX1</v>
      </c>
      <c r="Q34" t="str">
        <f t="shared" si="2"/>
        <v>AVRIL</v>
      </c>
      <c r="R34" t="str">
        <f t="shared" si="3"/>
        <v>Dominique</v>
      </c>
      <c r="S34">
        <f t="shared" si="4"/>
        <v>914</v>
      </c>
      <c r="T34">
        <f t="shared" si="5"/>
        <v>87416310</v>
      </c>
      <c r="U34" t="s">
        <v>880</v>
      </c>
    </row>
    <row r="35" spans="1:21" hidden="1" x14ac:dyDescent="0.2">
      <c r="A35" s="186" t="s">
        <v>142</v>
      </c>
      <c r="B35" s="128">
        <f t="shared" ref="B35:B66" si="6">IF(A35=A34,B34+1,1)</f>
        <v>2</v>
      </c>
      <c r="C35" s="128" t="s">
        <v>40</v>
      </c>
      <c r="D35" s="128" t="s">
        <v>316</v>
      </c>
      <c r="E35" s="127">
        <v>1019</v>
      </c>
      <c r="F35" s="127">
        <v>87426443</v>
      </c>
      <c r="G35" s="127" t="s">
        <v>1643</v>
      </c>
      <c r="H35" s="187"/>
      <c r="I35" s="187"/>
      <c r="P35" t="str">
        <f t="shared" ref="P35:P66" si="7">A35&amp;B35</f>
        <v>CHAINTREAUX2</v>
      </c>
      <c r="Q35" t="str">
        <f t="shared" si="2"/>
        <v>BARON</v>
      </c>
      <c r="R35" t="str">
        <f t="shared" si="3"/>
        <v>Aymeric</v>
      </c>
      <c r="S35">
        <f t="shared" si="4"/>
        <v>1019</v>
      </c>
      <c r="T35">
        <f t="shared" si="5"/>
        <v>87426443</v>
      </c>
      <c r="U35" t="s">
        <v>534</v>
      </c>
    </row>
    <row r="36" spans="1:21" hidden="1" x14ac:dyDescent="0.2">
      <c r="A36" s="186" t="s">
        <v>142</v>
      </c>
      <c r="B36" s="128">
        <f t="shared" si="6"/>
        <v>3</v>
      </c>
      <c r="C36" s="128" t="s">
        <v>41</v>
      </c>
      <c r="D36" s="128" t="s">
        <v>248</v>
      </c>
      <c r="E36" s="127">
        <v>927</v>
      </c>
      <c r="F36" s="127">
        <v>87461762</v>
      </c>
      <c r="G36" s="127" t="s">
        <v>1643</v>
      </c>
      <c r="H36" s="187"/>
      <c r="I36" s="187"/>
      <c r="P36" t="str">
        <f t="shared" si="7"/>
        <v>CHAINTREAUX3</v>
      </c>
      <c r="Q36" t="str">
        <f t="shared" si="2"/>
        <v>BAUDET</v>
      </c>
      <c r="R36" t="str">
        <f t="shared" si="3"/>
        <v>Baptiste</v>
      </c>
      <c r="S36">
        <f t="shared" si="4"/>
        <v>927</v>
      </c>
      <c r="T36">
        <f t="shared" si="5"/>
        <v>87461762</v>
      </c>
      <c r="U36" t="s">
        <v>162</v>
      </c>
    </row>
    <row r="37" spans="1:21" hidden="1" x14ac:dyDescent="0.2">
      <c r="A37" s="186" t="s">
        <v>142</v>
      </c>
      <c r="B37" s="128">
        <f t="shared" si="6"/>
        <v>4</v>
      </c>
      <c r="C37" s="128" t="s">
        <v>41</v>
      </c>
      <c r="D37" s="128" t="s">
        <v>286</v>
      </c>
      <c r="E37" s="127">
        <v>1059</v>
      </c>
      <c r="F37" s="127">
        <v>87459666</v>
      </c>
      <c r="G37" s="127" t="s">
        <v>1643</v>
      </c>
      <c r="H37" s="187"/>
      <c r="I37" s="187"/>
      <c r="P37" t="str">
        <f t="shared" si="7"/>
        <v>CHAINTREAUX4</v>
      </c>
      <c r="Q37" t="str">
        <f t="shared" si="2"/>
        <v>BAUDET</v>
      </c>
      <c r="R37" t="str">
        <f t="shared" si="3"/>
        <v>Cedric</v>
      </c>
      <c r="S37">
        <f t="shared" si="4"/>
        <v>1059</v>
      </c>
      <c r="T37">
        <f t="shared" si="5"/>
        <v>87459666</v>
      </c>
      <c r="U37" t="s">
        <v>163</v>
      </c>
    </row>
    <row r="38" spans="1:21" hidden="1" x14ac:dyDescent="0.2">
      <c r="A38" s="186" t="s">
        <v>142</v>
      </c>
      <c r="B38" s="128">
        <f t="shared" si="6"/>
        <v>5</v>
      </c>
      <c r="C38" s="128" t="s">
        <v>41</v>
      </c>
      <c r="D38" s="128" t="s">
        <v>1276</v>
      </c>
      <c r="E38" s="127">
        <v>598</v>
      </c>
      <c r="F38" s="127">
        <v>97065869</v>
      </c>
      <c r="G38" s="127" t="s">
        <v>1643</v>
      </c>
      <c r="H38" s="187"/>
      <c r="I38" s="187"/>
      <c r="P38" t="str">
        <f t="shared" si="7"/>
        <v>CHAINTREAUX5</v>
      </c>
      <c r="Q38" t="str">
        <f t="shared" si="2"/>
        <v>BAUDET</v>
      </c>
      <c r="R38" t="str">
        <f t="shared" si="3"/>
        <v>Charlene</v>
      </c>
      <c r="S38">
        <f t="shared" si="4"/>
        <v>598</v>
      </c>
      <c r="T38">
        <f t="shared" si="5"/>
        <v>97065869</v>
      </c>
      <c r="U38" t="s">
        <v>1364</v>
      </c>
    </row>
    <row r="39" spans="1:21" hidden="1" x14ac:dyDescent="0.2">
      <c r="A39" s="186" t="s">
        <v>142</v>
      </c>
      <c r="B39" s="128">
        <f t="shared" si="6"/>
        <v>6</v>
      </c>
      <c r="C39" s="128" t="s">
        <v>754</v>
      </c>
      <c r="D39" s="128" t="s">
        <v>313</v>
      </c>
      <c r="E39" s="127">
        <v>500</v>
      </c>
      <c r="F39" s="127">
        <v>97089149</v>
      </c>
      <c r="G39" s="127" t="s">
        <v>1643</v>
      </c>
      <c r="H39" s="187"/>
      <c r="I39" s="187"/>
      <c r="P39" t="str">
        <f t="shared" si="7"/>
        <v>CHAINTREAUX6</v>
      </c>
      <c r="Q39" t="str">
        <f t="shared" si="2"/>
        <v>BERUET</v>
      </c>
      <c r="R39" t="str">
        <f t="shared" si="3"/>
        <v>Emmanuel</v>
      </c>
      <c r="S39">
        <f t="shared" si="4"/>
        <v>500</v>
      </c>
      <c r="T39">
        <f t="shared" si="5"/>
        <v>97089149</v>
      </c>
      <c r="U39" t="s">
        <v>785</v>
      </c>
    </row>
    <row r="40" spans="1:21" hidden="1" x14ac:dyDescent="0.2">
      <c r="A40" s="186" t="s">
        <v>142</v>
      </c>
      <c r="B40" s="128">
        <f t="shared" si="6"/>
        <v>7</v>
      </c>
      <c r="C40" s="128" t="s">
        <v>754</v>
      </c>
      <c r="D40" s="128" t="s">
        <v>296</v>
      </c>
      <c r="E40" s="127">
        <v>726</v>
      </c>
      <c r="F40" s="127">
        <v>97101836</v>
      </c>
      <c r="G40" s="127" t="s">
        <v>1643</v>
      </c>
      <c r="H40" s="187"/>
      <c r="I40" s="187"/>
      <c r="P40" t="str">
        <f t="shared" si="7"/>
        <v>CHAINTREAUX7</v>
      </c>
      <c r="Q40" t="str">
        <f t="shared" si="2"/>
        <v>BERUET</v>
      </c>
      <c r="R40" t="str">
        <f t="shared" si="3"/>
        <v>Romain</v>
      </c>
      <c r="S40">
        <f t="shared" si="4"/>
        <v>726</v>
      </c>
      <c r="T40">
        <f t="shared" si="5"/>
        <v>97101836</v>
      </c>
      <c r="U40" t="s">
        <v>736</v>
      </c>
    </row>
    <row r="41" spans="1:21" hidden="1" x14ac:dyDescent="0.2">
      <c r="A41" s="186" t="s">
        <v>142</v>
      </c>
      <c r="B41" s="128">
        <f t="shared" si="6"/>
        <v>8</v>
      </c>
      <c r="C41" s="128" t="s">
        <v>1517</v>
      </c>
      <c r="D41" s="128" t="s">
        <v>1545</v>
      </c>
      <c r="E41" s="127">
        <v>500</v>
      </c>
      <c r="F41" s="127">
        <v>97107948</v>
      </c>
      <c r="G41" s="127" t="s">
        <v>1856</v>
      </c>
      <c r="H41" s="187"/>
      <c r="I41" s="187"/>
      <c r="P41" t="str">
        <f t="shared" si="7"/>
        <v>CHAINTREAUX8</v>
      </c>
      <c r="Q41" t="str">
        <f t="shared" si="2"/>
        <v>BRIARD</v>
      </c>
      <c r="R41" t="str">
        <f t="shared" si="3"/>
        <v>Prisca</v>
      </c>
      <c r="S41">
        <f t="shared" si="4"/>
        <v>500</v>
      </c>
      <c r="T41">
        <f t="shared" si="5"/>
        <v>97107948</v>
      </c>
      <c r="U41" t="s">
        <v>1562</v>
      </c>
    </row>
    <row r="42" spans="1:21" hidden="1" x14ac:dyDescent="0.2">
      <c r="A42" s="186" t="s">
        <v>142</v>
      </c>
      <c r="B42" s="128">
        <f t="shared" si="6"/>
        <v>9</v>
      </c>
      <c r="C42" s="128" t="s">
        <v>1148</v>
      </c>
      <c r="D42" s="128" t="s">
        <v>1277</v>
      </c>
      <c r="E42" s="127">
        <v>500</v>
      </c>
      <c r="F42" s="127">
        <v>87431551</v>
      </c>
      <c r="G42" s="127" t="s">
        <v>1856</v>
      </c>
      <c r="H42" s="187"/>
      <c r="I42" s="187"/>
      <c r="P42" t="str">
        <f t="shared" si="7"/>
        <v>CHAINTREAUX9</v>
      </c>
      <c r="Q42" t="str">
        <f t="shared" si="2"/>
        <v>DA SILVA NOVAIS</v>
      </c>
      <c r="R42" t="str">
        <f t="shared" si="3"/>
        <v>Ruben</v>
      </c>
      <c r="S42">
        <f t="shared" si="4"/>
        <v>500</v>
      </c>
      <c r="T42">
        <f t="shared" si="5"/>
        <v>87431551</v>
      </c>
      <c r="U42" t="s">
        <v>1365</v>
      </c>
    </row>
    <row r="43" spans="1:21" hidden="1" x14ac:dyDescent="0.2">
      <c r="A43" s="186" t="s">
        <v>142</v>
      </c>
      <c r="B43" s="128">
        <f t="shared" si="6"/>
        <v>10</v>
      </c>
      <c r="C43" s="128" t="s">
        <v>1003</v>
      </c>
      <c r="D43" s="128" t="s">
        <v>1546</v>
      </c>
      <c r="E43" s="127">
        <v>573</v>
      </c>
      <c r="F43" s="127">
        <v>87428733</v>
      </c>
      <c r="G43" s="127" t="s">
        <v>1643</v>
      </c>
      <c r="H43" s="187"/>
      <c r="I43" s="187"/>
      <c r="P43" t="str">
        <f t="shared" si="7"/>
        <v>CHAINTREAUX10</v>
      </c>
      <c r="Q43" t="str">
        <f t="shared" si="2"/>
        <v>DOS SANTOS DA SILVA</v>
      </c>
      <c r="R43" t="str">
        <f t="shared" si="3"/>
        <v>Noemie</v>
      </c>
      <c r="S43">
        <f t="shared" si="4"/>
        <v>573</v>
      </c>
      <c r="T43">
        <f t="shared" si="5"/>
        <v>87428733</v>
      </c>
      <c r="U43" t="s">
        <v>1590</v>
      </c>
    </row>
    <row r="44" spans="1:21" hidden="1" x14ac:dyDescent="0.2">
      <c r="A44" s="186" t="s">
        <v>142</v>
      </c>
      <c r="B44" s="128">
        <f t="shared" si="6"/>
        <v>11</v>
      </c>
      <c r="C44" s="128" t="s">
        <v>1003</v>
      </c>
      <c r="D44" s="128" t="s">
        <v>1009</v>
      </c>
      <c r="E44" s="127">
        <v>745</v>
      </c>
      <c r="F44" s="127">
        <v>87446580</v>
      </c>
      <c r="G44" s="127" t="s">
        <v>1643</v>
      </c>
      <c r="H44" s="187"/>
      <c r="I44" s="187"/>
      <c r="P44" t="str">
        <f t="shared" si="7"/>
        <v>CHAINTREAUX11</v>
      </c>
      <c r="Q44" t="str">
        <f t="shared" si="2"/>
        <v>DOS SANTOS DA SILVA</v>
      </c>
      <c r="R44" t="str">
        <f t="shared" si="3"/>
        <v>Sienna</v>
      </c>
      <c r="S44">
        <f t="shared" si="4"/>
        <v>745</v>
      </c>
      <c r="T44">
        <f t="shared" si="5"/>
        <v>87446580</v>
      </c>
      <c r="U44" t="s">
        <v>1595</v>
      </c>
    </row>
    <row r="45" spans="1:21" hidden="1" x14ac:dyDescent="0.2">
      <c r="A45" s="186" t="s">
        <v>142</v>
      </c>
      <c r="B45" s="128">
        <f t="shared" si="6"/>
        <v>12</v>
      </c>
      <c r="C45" s="128" t="s">
        <v>1780</v>
      </c>
      <c r="D45" s="128" t="s">
        <v>293</v>
      </c>
      <c r="E45" s="127">
        <v>500</v>
      </c>
      <c r="F45" s="127">
        <v>55353199</v>
      </c>
      <c r="G45" s="127" t="s">
        <v>1643</v>
      </c>
      <c r="H45" s="187"/>
      <c r="I45" s="187"/>
      <c r="P45" t="str">
        <f t="shared" si="7"/>
        <v>CHAINTREAUX12</v>
      </c>
      <c r="Q45" t="str">
        <f t="shared" si="2"/>
        <v>FANON</v>
      </c>
      <c r="R45" t="str">
        <f t="shared" si="3"/>
        <v>Christophe</v>
      </c>
      <c r="S45">
        <f t="shared" si="4"/>
        <v>500</v>
      </c>
      <c r="T45">
        <f t="shared" si="5"/>
        <v>55353199</v>
      </c>
      <c r="U45" t="s">
        <v>1820</v>
      </c>
    </row>
    <row r="46" spans="1:21" hidden="1" x14ac:dyDescent="0.2">
      <c r="A46" s="186" t="s">
        <v>142</v>
      </c>
      <c r="B46" s="128">
        <f t="shared" si="6"/>
        <v>13</v>
      </c>
      <c r="C46" s="128" t="s">
        <v>1518</v>
      </c>
      <c r="D46" s="128" t="s">
        <v>1547</v>
      </c>
      <c r="E46" s="127">
        <v>598</v>
      </c>
      <c r="F46" s="127">
        <v>87425102</v>
      </c>
      <c r="G46" s="127" t="s">
        <v>1643</v>
      </c>
      <c r="H46" s="187"/>
      <c r="I46" s="187"/>
      <c r="P46" t="str">
        <f t="shared" si="7"/>
        <v>CHAINTREAUX13</v>
      </c>
      <c r="Q46" t="str">
        <f t="shared" si="2"/>
        <v>FOURDINIER</v>
      </c>
      <c r="R46" t="str">
        <f t="shared" si="3"/>
        <v>Alice</v>
      </c>
      <c r="S46">
        <f t="shared" si="4"/>
        <v>598</v>
      </c>
      <c r="T46">
        <f t="shared" si="5"/>
        <v>87425102</v>
      </c>
      <c r="U46" t="s">
        <v>1563</v>
      </c>
    </row>
    <row r="47" spans="1:21" hidden="1" x14ac:dyDescent="0.2">
      <c r="A47" s="186" t="s">
        <v>142</v>
      </c>
      <c r="B47" s="128">
        <f t="shared" si="6"/>
        <v>14</v>
      </c>
      <c r="C47" s="128" t="s">
        <v>833</v>
      </c>
      <c r="D47" s="128" t="s">
        <v>799</v>
      </c>
      <c r="E47" s="127">
        <v>904</v>
      </c>
      <c r="F47" s="127">
        <v>87425104</v>
      </c>
      <c r="G47" s="127" t="s">
        <v>1643</v>
      </c>
      <c r="H47" s="187"/>
      <c r="I47" s="187"/>
      <c r="P47" t="str">
        <f t="shared" si="7"/>
        <v>CHAINTREAUX14</v>
      </c>
      <c r="Q47" t="str">
        <f t="shared" si="2"/>
        <v>GUERISEC</v>
      </c>
      <c r="R47" t="str">
        <f t="shared" si="3"/>
        <v>Guenael</v>
      </c>
      <c r="S47">
        <f t="shared" si="4"/>
        <v>904</v>
      </c>
      <c r="T47">
        <f t="shared" si="5"/>
        <v>87425104</v>
      </c>
      <c r="U47" t="s">
        <v>894</v>
      </c>
    </row>
    <row r="48" spans="1:21" hidden="1" x14ac:dyDescent="0.2">
      <c r="A48" s="186" t="s">
        <v>142</v>
      </c>
      <c r="B48" s="128">
        <f t="shared" si="6"/>
        <v>15</v>
      </c>
      <c r="C48" s="128" t="s">
        <v>38</v>
      </c>
      <c r="D48" s="128" t="s">
        <v>291</v>
      </c>
      <c r="E48" s="127">
        <v>711</v>
      </c>
      <c r="F48" s="127">
        <v>87446734</v>
      </c>
      <c r="G48" s="127" t="s">
        <v>1643</v>
      </c>
      <c r="H48" s="187"/>
      <c r="I48" s="187"/>
      <c r="P48" t="str">
        <f t="shared" si="7"/>
        <v>CHAINTREAUX15</v>
      </c>
      <c r="Q48" t="str">
        <f t="shared" si="2"/>
        <v>HOURMAN</v>
      </c>
      <c r="R48" t="str">
        <f t="shared" si="3"/>
        <v>Florian</v>
      </c>
      <c r="S48">
        <f t="shared" si="4"/>
        <v>711</v>
      </c>
      <c r="T48">
        <f t="shared" si="5"/>
        <v>87446734</v>
      </c>
      <c r="U48" t="s">
        <v>164</v>
      </c>
    </row>
    <row r="49" spans="1:21" hidden="1" x14ac:dyDescent="0.2">
      <c r="A49" s="186" t="s">
        <v>142</v>
      </c>
      <c r="B49" s="128">
        <f t="shared" si="6"/>
        <v>16</v>
      </c>
      <c r="C49" s="128" t="s">
        <v>38</v>
      </c>
      <c r="D49" s="128" t="s">
        <v>292</v>
      </c>
      <c r="E49" s="127">
        <v>754</v>
      </c>
      <c r="F49" s="127">
        <v>55332288</v>
      </c>
      <c r="G49" s="127" t="s">
        <v>1643</v>
      </c>
      <c r="H49" s="187"/>
      <c r="I49" s="187"/>
      <c r="P49" t="str">
        <f t="shared" si="7"/>
        <v>CHAINTREAUX16</v>
      </c>
      <c r="Q49" t="str">
        <f t="shared" si="2"/>
        <v>HOURMAN</v>
      </c>
      <c r="R49" t="str">
        <f t="shared" si="3"/>
        <v>Philippe</v>
      </c>
      <c r="S49">
        <f t="shared" si="4"/>
        <v>754</v>
      </c>
      <c r="T49">
        <f t="shared" si="5"/>
        <v>55332288</v>
      </c>
      <c r="U49" t="s">
        <v>165</v>
      </c>
    </row>
    <row r="50" spans="1:21" hidden="1" x14ac:dyDescent="0.2">
      <c r="A50" s="186" t="s">
        <v>142</v>
      </c>
      <c r="B50" s="128">
        <f t="shared" si="6"/>
        <v>17</v>
      </c>
      <c r="C50" s="128" t="s">
        <v>39</v>
      </c>
      <c r="D50" s="128" t="s">
        <v>294</v>
      </c>
      <c r="E50" s="127">
        <v>500</v>
      </c>
      <c r="F50" s="127">
        <v>55342603</v>
      </c>
      <c r="G50" s="127" t="s">
        <v>1643</v>
      </c>
      <c r="H50" s="187"/>
      <c r="I50" s="187"/>
      <c r="P50" t="str">
        <f t="shared" si="7"/>
        <v>CHAINTREAUX17</v>
      </c>
      <c r="Q50" t="str">
        <f t="shared" si="2"/>
        <v>LAINE</v>
      </c>
      <c r="R50" t="str">
        <f t="shared" si="3"/>
        <v>Frederic</v>
      </c>
      <c r="S50">
        <f t="shared" si="4"/>
        <v>500</v>
      </c>
      <c r="T50">
        <f t="shared" si="5"/>
        <v>55342603</v>
      </c>
      <c r="U50" t="s">
        <v>166</v>
      </c>
    </row>
    <row r="51" spans="1:21" hidden="1" x14ac:dyDescent="0.2">
      <c r="A51" s="186" t="s">
        <v>142</v>
      </c>
      <c r="B51" s="128">
        <f t="shared" si="6"/>
        <v>18</v>
      </c>
      <c r="C51" s="128" t="s">
        <v>110</v>
      </c>
      <c r="D51" s="128" t="s">
        <v>346</v>
      </c>
      <c r="E51" s="127">
        <v>1202</v>
      </c>
      <c r="F51" s="127">
        <v>87446312</v>
      </c>
      <c r="G51" s="127" t="s">
        <v>1643</v>
      </c>
      <c r="H51" s="187"/>
      <c r="I51" s="187"/>
      <c r="P51" t="str">
        <f t="shared" si="7"/>
        <v>CHAINTREAUX18</v>
      </c>
      <c r="Q51" t="str">
        <f t="shared" si="2"/>
        <v>LEDUC</v>
      </c>
      <c r="R51" t="str">
        <f t="shared" si="3"/>
        <v>Jean Claude</v>
      </c>
      <c r="S51">
        <f t="shared" si="4"/>
        <v>1202</v>
      </c>
      <c r="T51">
        <f t="shared" si="5"/>
        <v>87446312</v>
      </c>
      <c r="U51" t="s">
        <v>545</v>
      </c>
    </row>
    <row r="52" spans="1:21" hidden="1" x14ac:dyDescent="0.2">
      <c r="A52" s="186" t="s">
        <v>142</v>
      </c>
      <c r="B52" s="128">
        <f t="shared" si="6"/>
        <v>19</v>
      </c>
      <c r="C52" s="128" t="s">
        <v>1779</v>
      </c>
      <c r="D52" s="128" t="s">
        <v>285</v>
      </c>
      <c r="E52" s="127">
        <v>1412</v>
      </c>
      <c r="F52" s="127">
        <v>55330261</v>
      </c>
      <c r="G52" s="127" t="s">
        <v>1643</v>
      </c>
      <c r="H52" s="187"/>
      <c r="I52" s="187"/>
      <c r="P52" t="str">
        <f t="shared" si="7"/>
        <v>CHAINTREAUX19</v>
      </c>
      <c r="Q52" t="str">
        <f t="shared" si="2"/>
        <v>LERA</v>
      </c>
      <c r="R52" t="str">
        <f t="shared" si="3"/>
        <v>Eric</v>
      </c>
      <c r="S52">
        <f t="shared" si="4"/>
        <v>1412</v>
      </c>
      <c r="T52">
        <f t="shared" si="5"/>
        <v>55330261</v>
      </c>
      <c r="U52" t="s">
        <v>1821</v>
      </c>
    </row>
    <row r="53" spans="1:21" hidden="1" x14ac:dyDescent="0.2">
      <c r="A53" s="186" t="s">
        <v>142</v>
      </c>
      <c r="B53" s="128">
        <f t="shared" si="6"/>
        <v>20</v>
      </c>
      <c r="C53" s="128" t="s">
        <v>637</v>
      </c>
      <c r="D53" s="128" t="s">
        <v>312</v>
      </c>
      <c r="E53" s="127">
        <v>569</v>
      </c>
      <c r="F53" s="127">
        <v>97088357</v>
      </c>
      <c r="G53" s="127" t="s">
        <v>1643</v>
      </c>
      <c r="H53" s="187"/>
      <c r="I53" s="187"/>
      <c r="P53" t="str">
        <f t="shared" si="7"/>
        <v>CHAINTREAUX20</v>
      </c>
      <c r="Q53" t="str">
        <f t="shared" si="2"/>
        <v>MARTIN</v>
      </c>
      <c r="R53" t="str">
        <f t="shared" si="3"/>
        <v>Patrice</v>
      </c>
      <c r="S53">
        <f t="shared" si="4"/>
        <v>569</v>
      </c>
      <c r="T53">
        <f t="shared" si="5"/>
        <v>97088357</v>
      </c>
      <c r="U53" t="s">
        <v>996</v>
      </c>
    </row>
    <row r="54" spans="1:21" hidden="1" x14ac:dyDescent="0.2">
      <c r="A54" s="186" t="s">
        <v>142</v>
      </c>
      <c r="B54" s="128">
        <f t="shared" si="6"/>
        <v>21</v>
      </c>
      <c r="C54" s="128" t="s">
        <v>1775</v>
      </c>
      <c r="D54" s="128" t="s">
        <v>1309</v>
      </c>
      <c r="E54" s="127">
        <v>500</v>
      </c>
      <c r="F54" s="127">
        <v>97109672</v>
      </c>
      <c r="G54" s="127" t="s">
        <v>1643</v>
      </c>
      <c r="H54" s="187"/>
      <c r="I54" s="187"/>
      <c r="P54" t="str">
        <f t="shared" si="7"/>
        <v>CHAINTREAUX21</v>
      </c>
      <c r="Q54" t="str">
        <f t="shared" si="2"/>
        <v>OFFMANN</v>
      </c>
      <c r="R54" t="str">
        <f t="shared" si="3"/>
        <v>Sandrine</v>
      </c>
      <c r="S54">
        <f t="shared" si="4"/>
        <v>500</v>
      </c>
      <c r="T54">
        <f t="shared" si="5"/>
        <v>97109672</v>
      </c>
      <c r="U54" t="s">
        <v>1822</v>
      </c>
    </row>
    <row r="55" spans="1:21" hidden="1" x14ac:dyDescent="0.2">
      <c r="A55" s="186" t="s">
        <v>142</v>
      </c>
      <c r="B55" s="128">
        <f t="shared" si="6"/>
        <v>22</v>
      </c>
      <c r="C55" s="128" t="s">
        <v>82</v>
      </c>
      <c r="D55" s="128" t="s">
        <v>319</v>
      </c>
      <c r="E55" s="127">
        <v>809</v>
      </c>
      <c r="F55" s="127">
        <v>20329868</v>
      </c>
      <c r="G55" s="127" t="s">
        <v>1643</v>
      </c>
      <c r="H55" s="187"/>
      <c r="I55" s="187"/>
      <c r="P55" t="str">
        <f t="shared" si="7"/>
        <v>CHAINTREAUX22</v>
      </c>
      <c r="Q55" t="str">
        <f t="shared" si="2"/>
        <v>POGNANT</v>
      </c>
      <c r="R55" t="str">
        <f t="shared" si="3"/>
        <v>Didier</v>
      </c>
      <c r="S55">
        <f t="shared" si="4"/>
        <v>809</v>
      </c>
      <c r="T55">
        <f t="shared" si="5"/>
        <v>20329868</v>
      </c>
      <c r="U55" t="s">
        <v>204</v>
      </c>
    </row>
    <row r="56" spans="1:21" hidden="1" x14ac:dyDescent="0.2">
      <c r="A56" s="186" t="s">
        <v>142</v>
      </c>
      <c r="B56" s="128">
        <f t="shared" si="6"/>
        <v>23</v>
      </c>
      <c r="C56" s="128" t="s">
        <v>832</v>
      </c>
      <c r="D56" s="128" t="s">
        <v>1776</v>
      </c>
      <c r="E56" s="127">
        <v>500</v>
      </c>
      <c r="F56" s="127">
        <v>97109927</v>
      </c>
      <c r="G56" s="127" t="s">
        <v>1643</v>
      </c>
      <c r="H56" s="187"/>
      <c r="I56" s="187"/>
      <c r="P56" t="str">
        <f t="shared" si="7"/>
        <v>CHAINTREAUX23</v>
      </c>
      <c r="Q56" t="str">
        <f t="shared" si="2"/>
        <v>REBOUCO</v>
      </c>
      <c r="R56" t="str">
        <f t="shared" si="3"/>
        <v>Hélène</v>
      </c>
      <c r="S56">
        <f t="shared" si="4"/>
        <v>500</v>
      </c>
      <c r="T56">
        <f t="shared" si="5"/>
        <v>97109927</v>
      </c>
      <c r="U56" t="s">
        <v>1824</v>
      </c>
    </row>
    <row r="57" spans="1:21" hidden="1" x14ac:dyDescent="0.2">
      <c r="A57" s="186" t="s">
        <v>142</v>
      </c>
      <c r="B57" s="128">
        <f t="shared" si="6"/>
        <v>24</v>
      </c>
      <c r="C57" s="128" t="s">
        <v>832</v>
      </c>
      <c r="D57" s="128" t="s">
        <v>862</v>
      </c>
      <c r="E57" s="127">
        <v>672</v>
      </c>
      <c r="F57" s="127">
        <v>87421590</v>
      </c>
      <c r="G57" s="127" t="s">
        <v>1643</v>
      </c>
      <c r="H57" s="187"/>
      <c r="I57" s="187"/>
      <c r="P57" t="str">
        <f t="shared" si="7"/>
        <v>CHAINTREAUX24</v>
      </c>
      <c r="Q57" t="str">
        <f t="shared" si="2"/>
        <v>REBOUCO</v>
      </c>
      <c r="R57" t="str">
        <f t="shared" si="3"/>
        <v>José</v>
      </c>
      <c r="S57">
        <f t="shared" si="4"/>
        <v>672</v>
      </c>
      <c r="T57">
        <f t="shared" si="5"/>
        <v>87421590</v>
      </c>
      <c r="U57" t="s">
        <v>893</v>
      </c>
    </row>
    <row r="58" spans="1:21" hidden="1" x14ac:dyDescent="0.2">
      <c r="A58" s="186" t="s">
        <v>142</v>
      </c>
      <c r="B58" s="128">
        <f t="shared" si="6"/>
        <v>25</v>
      </c>
      <c r="C58" s="128" t="s">
        <v>832</v>
      </c>
      <c r="D58" s="128" t="s">
        <v>613</v>
      </c>
      <c r="E58" s="127">
        <v>500</v>
      </c>
      <c r="F58" s="127">
        <v>87425103</v>
      </c>
      <c r="G58" s="127" t="s">
        <v>1643</v>
      </c>
      <c r="H58" s="187"/>
      <c r="I58" s="187"/>
      <c r="P58" t="str">
        <f t="shared" si="7"/>
        <v>CHAINTREAUX25</v>
      </c>
      <c r="Q58" t="str">
        <f t="shared" si="2"/>
        <v>REBOUCO</v>
      </c>
      <c r="R58" t="str">
        <f t="shared" si="3"/>
        <v>William</v>
      </c>
      <c r="S58">
        <f t="shared" si="4"/>
        <v>500</v>
      </c>
      <c r="T58">
        <f t="shared" si="5"/>
        <v>87425103</v>
      </c>
      <c r="U58" t="s">
        <v>1104</v>
      </c>
    </row>
    <row r="59" spans="1:21" hidden="1" x14ac:dyDescent="0.2">
      <c r="A59" s="186" t="s">
        <v>142</v>
      </c>
      <c r="B59" s="128">
        <f t="shared" si="6"/>
        <v>26</v>
      </c>
      <c r="C59" s="128" t="s">
        <v>820</v>
      </c>
      <c r="D59" s="128" t="s">
        <v>310</v>
      </c>
      <c r="E59" s="127">
        <v>500</v>
      </c>
      <c r="F59" s="127">
        <v>97092003</v>
      </c>
      <c r="G59" s="127" t="s">
        <v>1643</v>
      </c>
      <c r="H59" s="187"/>
      <c r="I59" s="187"/>
      <c r="P59" t="str">
        <f t="shared" si="7"/>
        <v>CHAINTREAUX26</v>
      </c>
      <c r="Q59" t="str">
        <f t="shared" si="2"/>
        <v>SCHNEIDER</v>
      </c>
      <c r="R59" t="str">
        <f t="shared" si="3"/>
        <v>Alain</v>
      </c>
      <c r="S59">
        <f t="shared" si="4"/>
        <v>500</v>
      </c>
      <c r="T59">
        <f t="shared" si="5"/>
        <v>97092003</v>
      </c>
      <c r="U59" t="s">
        <v>881</v>
      </c>
    </row>
    <row r="60" spans="1:21" hidden="1" x14ac:dyDescent="0.2">
      <c r="A60" s="186" t="s">
        <v>142</v>
      </c>
      <c r="B60" s="128">
        <f t="shared" si="6"/>
        <v>27</v>
      </c>
      <c r="C60" s="128" t="s">
        <v>1777</v>
      </c>
      <c r="D60" s="128" t="s">
        <v>1778</v>
      </c>
      <c r="E60" s="127">
        <v>500</v>
      </c>
      <c r="F60" s="127">
        <v>97069246</v>
      </c>
      <c r="G60" s="127" t="s">
        <v>1643</v>
      </c>
      <c r="H60" s="187"/>
      <c r="I60" s="187"/>
      <c r="P60" t="str">
        <f t="shared" si="7"/>
        <v>CHAINTREAUX27</v>
      </c>
      <c r="Q60" t="str">
        <f t="shared" si="2"/>
        <v>TOUSSAINT</v>
      </c>
      <c r="R60" t="str">
        <f t="shared" si="3"/>
        <v>Charles</v>
      </c>
      <c r="S60">
        <f t="shared" si="4"/>
        <v>500</v>
      </c>
      <c r="T60">
        <f t="shared" si="5"/>
        <v>97069246</v>
      </c>
      <c r="U60" t="s">
        <v>1823</v>
      </c>
    </row>
    <row r="61" spans="1:21" hidden="1" x14ac:dyDescent="0.2">
      <c r="A61" s="186" t="s">
        <v>142</v>
      </c>
      <c r="B61" s="128">
        <f t="shared" si="6"/>
        <v>28</v>
      </c>
      <c r="C61" s="128" t="s">
        <v>37</v>
      </c>
      <c r="D61" s="128" t="s">
        <v>298</v>
      </c>
      <c r="E61" s="127">
        <v>500</v>
      </c>
      <c r="F61" s="127">
        <v>55329437</v>
      </c>
      <c r="G61" s="127" t="s">
        <v>1643</v>
      </c>
      <c r="H61" s="187"/>
      <c r="I61" s="187"/>
      <c r="P61" t="str">
        <f t="shared" si="7"/>
        <v>CHAINTREAUX28</v>
      </c>
      <c r="Q61" t="str">
        <f t="shared" si="2"/>
        <v>TRAULLE</v>
      </c>
      <c r="R61" t="str">
        <f t="shared" si="3"/>
        <v>Christian</v>
      </c>
      <c r="S61">
        <f t="shared" si="4"/>
        <v>500</v>
      </c>
      <c r="T61">
        <f t="shared" si="5"/>
        <v>55329437</v>
      </c>
      <c r="U61" t="s">
        <v>167</v>
      </c>
    </row>
    <row r="62" spans="1:21" hidden="1" x14ac:dyDescent="0.2">
      <c r="A62" s="186" t="s">
        <v>131</v>
      </c>
      <c r="B62" s="128">
        <f t="shared" si="6"/>
        <v>1</v>
      </c>
      <c r="C62" s="128" t="s">
        <v>1522</v>
      </c>
      <c r="D62" s="128" t="s">
        <v>299</v>
      </c>
      <c r="E62" s="127">
        <v>651</v>
      </c>
      <c r="F62" s="127">
        <v>87412028</v>
      </c>
      <c r="G62" s="127" t="s">
        <v>1643</v>
      </c>
      <c r="H62" s="187"/>
      <c r="I62" s="187"/>
      <c r="P62" t="str">
        <f t="shared" si="7"/>
        <v>CHAMBRY1</v>
      </c>
      <c r="Q62" t="str">
        <f t="shared" si="2"/>
        <v>BOURQUENCIER</v>
      </c>
      <c r="R62" t="str">
        <f t="shared" si="3"/>
        <v>Manuel</v>
      </c>
      <c r="S62">
        <f t="shared" si="4"/>
        <v>651</v>
      </c>
      <c r="T62">
        <f t="shared" si="5"/>
        <v>87412028</v>
      </c>
      <c r="U62" t="s">
        <v>1567</v>
      </c>
    </row>
    <row r="63" spans="1:21" hidden="1" x14ac:dyDescent="0.2">
      <c r="A63" s="186" t="s">
        <v>131</v>
      </c>
      <c r="B63" s="128">
        <f t="shared" si="6"/>
        <v>2</v>
      </c>
      <c r="C63" s="128" t="s">
        <v>1521</v>
      </c>
      <c r="D63" s="128" t="s">
        <v>314</v>
      </c>
      <c r="E63" s="127">
        <v>500</v>
      </c>
      <c r="F63" s="127">
        <v>97107858</v>
      </c>
      <c r="G63" s="127" t="s">
        <v>1856</v>
      </c>
      <c r="H63" s="187"/>
      <c r="I63" s="187"/>
      <c r="P63" t="str">
        <f t="shared" si="7"/>
        <v>CHAMBRY2</v>
      </c>
      <c r="Q63" t="str">
        <f t="shared" si="2"/>
        <v>COURTIAL</v>
      </c>
      <c r="R63" t="str">
        <f t="shared" si="3"/>
        <v>Julien</v>
      </c>
      <c r="S63">
        <f t="shared" si="4"/>
        <v>500</v>
      </c>
      <c r="T63">
        <f t="shared" si="5"/>
        <v>97107858</v>
      </c>
      <c r="U63" t="s">
        <v>1566</v>
      </c>
    </row>
    <row r="64" spans="1:21" hidden="1" x14ac:dyDescent="0.2">
      <c r="A64" s="186" t="s">
        <v>131</v>
      </c>
      <c r="B64" s="128">
        <f t="shared" si="6"/>
        <v>3</v>
      </c>
      <c r="C64" s="128" t="s">
        <v>42</v>
      </c>
      <c r="D64" s="128" t="s">
        <v>302</v>
      </c>
      <c r="E64" s="127">
        <v>755</v>
      </c>
      <c r="F64" s="127">
        <v>55322736</v>
      </c>
      <c r="G64" s="127" t="s">
        <v>1643</v>
      </c>
      <c r="H64" s="187"/>
      <c r="I64" s="187"/>
      <c r="P64" t="str">
        <f t="shared" si="7"/>
        <v>CHAMBRY3</v>
      </c>
      <c r="Q64" t="str">
        <f t="shared" si="2"/>
        <v>DREVET</v>
      </c>
      <c r="R64" t="str">
        <f t="shared" si="3"/>
        <v>Cyril</v>
      </c>
      <c r="S64">
        <f t="shared" si="4"/>
        <v>755</v>
      </c>
      <c r="T64">
        <f t="shared" si="5"/>
        <v>55322736</v>
      </c>
      <c r="U64" t="s">
        <v>168</v>
      </c>
    </row>
    <row r="65" spans="1:21" hidden="1" x14ac:dyDescent="0.2">
      <c r="A65" s="186" t="s">
        <v>131</v>
      </c>
      <c r="B65" s="128">
        <f t="shared" si="6"/>
        <v>4</v>
      </c>
      <c r="C65" s="128" t="s">
        <v>1774</v>
      </c>
      <c r="D65" s="128" t="s">
        <v>639</v>
      </c>
      <c r="E65" s="127">
        <v>500</v>
      </c>
      <c r="F65" s="127">
        <v>97109379</v>
      </c>
      <c r="G65" s="127" t="s">
        <v>1643</v>
      </c>
      <c r="H65" s="187"/>
      <c r="I65" s="187"/>
      <c r="P65" t="str">
        <f t="shared" si="7"/>
        <v>CHAMBRY4</v>
      </c>
      <c r="Q65" t="str">
        <f t="shared" si="2"/>
        <v>DUSSART</v>
      </c>
      <c r="R65" t="str">
        <f t="shared" si="3"/>
        <v>Sébastien</v>
      </c>
      <c r="S65">
        <f t="shared" si="4"/>
        <v>500</v>
      </c>
      <c r="T65">
        <f t="shared" si="5"/>
        <v>97109379</v>
      </c>
      <c r="U65" t="s">
        <v>1825</v>
      </c>
    </row>
    <row r="66" spans="1:21" hidden="1" x14ac:dyDescent="0.2">
      <c r="A66" s="186" t="s">
        <v>131</v>
      </c>
      <c r="B66" s="128">
        <f t="shared" si="6"/>
        <v>5</v>
      </c>
      <c r="C66" s="128" t="s">
        <v>1519</v>
      </c>
      <c r="D66" s="128" t="s">
        <v>290</v>
      </c>
      <c r="E66" s="127">
        <v>500</v>
      </c>
      <c r="F66" s="127">
        <v>97107859</v>
      </c>
      <c r="G66" s="127" t="s">
        <v>1856</v>
      </c>
      <c r="H66" s="187"/>
      <c r="I66" s="187"/>
      <c r="P66" t="str">
        <f t="shared" si="7"/>
        <v>CHAMBRY5</v>
      </c>
      <c r="Q66" t="str">
        <f t="shared" si="2"/>
        <v>MAZIER</v>
      </c>
      <c r="R66" t="str">
        <f t="shared" si="3"/>
        <v>Alexandre</v>
      </c>
      <c r="S66">
        <f t="shared" si="4"/>
        <v>500</v>
      </c>
      <c r="T66">
        <f t="shared" si="5"/>
        <v>97107859</v>
      </c>
      <c r="U66" t="s">
        <v>1564</v>
      </c>
    </row>
    <row r="67" spans="1:21" hidden="1" x14ac:dyDescent="0.2">
      <c r="A67" s="186" t="s">
        <v>131</v>
      </c>
      <c r="B67" s="128">
        <f t="shared" ref="B67:B98" si="8">IF(A67=A66,B66+1,1)</f>
        <v>6</v>
      </c>
      <c r="C67" s="128" t="s">
        <v>44</v>
      </c>
      <c r="D67" s="128" t="s">
        <v>308</v>
      </c>
      <c r="E67" s="127">
        <v>726</v>
      </c>
      <c r="F67" s="127">
        <v>87425147</v>
      </c>
      <c r="G67" s="127" t="s">
        <v>1643</v>
      </c>
      <c r="H67" s="187"/>
      <c r="I67" s="187"/>
      <c r="P67" t="str">
        <f t="shared" ref="P67:P98" si="9">A67&amp;B67</f>
        <v>CHAMBRY6</v>
      </c>
      <c r="Q67" t="str">
        <f t="shared" ref="Q67:Q130" si="10">C67</f>
        <v>MAZURE</v>
      </c>
      <c r="R67" t="str">
        <f t="shared" ref="R67:R130" si="11">D67</f>
        <v>Marc</v>
      </c>
      <c r="S67">
        <f t="shared" ref="S67:S130" si="12">E67</f>
        <v>726</v>
      </c>
      <c r="T67">
        <f t="shared" ref="T67:T130" si="13">F67</f>
        <v>87425147</v>
      </c>
      <c r="U67" t="s">
        <v>169</v>
      </c>
    </row>
    <row r="68" spans="1:21" hidden="1" x14ac:dyDescent="0.2">
      <c r="A68" s="186" t="s">
        <v>131</v>
      </c>
      <c r="B68" s="128">
        <f t="shared" si="8"/>
        <v>7</v>
      </c>
      <c r="C68" s="128" t="s">
        <v>1520</v>
      </c>
      <c r="D68" s="128" t="s">
        <v>286</v>
      </c>
      <c r="E68" s="127">
        <v>500</v>
      </c>
      <c r="F68" s="127">
        <v>97107860</v>
      </c>
      <c r="G68" s="127" t="s">
        <v>1856</v>
      </c>
      <c r="H68" s="187"/>
      <c r="I68" s="187"/>
      <c r="P68" t="str">
        <f t="shared" si="9"/>
        <v>CHAMBRY7</v>
      </c>
      <c r="Q68" t="str">
        <f t="shared" si="10"/>
        <v>MOUTACHY</v>
      </c>
      <c r="R68" t="str">
        <f t="shared" si="11"/>
        <v>Cedric</v>
      </c>
      <c r="S68">
        <f t="shared" si="12"/>
        <v>500</v>
      </c>
      <c r="T68">
        <f t="shared" si="13"/>
        <v>97107860</v>
      </c>
      <c r="U68" t="s">
        <v>1565</v>
      </c>
    </row>
    <row r="69" spans="1:21" hidden="1" x14ac:dyDescent="0.2">
      <c r="A69" s="186" t="s">
        <v>131</v>
      </c>
      <c r="B69" s="128">
        <f t="shared" si="8"/>
        <v>8</v>
      </c>
      <c r="C69" s="128" t="s">
        <v>1004</v>
      </c>
      <c r="D69" s="128" t="s">
        <v>1010</v>
      </c>
      <c r="E69" s="127">
        <v>711</v>
      </c>
      <c r="F69" s="127">
        <v>55358118</v>
      </c>
      <c r="G69" s="127" t="s">
        <v>1643</v>
      </c>
      <c r="H69" s="187"/>
      <c r="I69" s="187"/>
      <c r="P69" t="str">
        <f t="shared" si="9"/>
        <v>CHAMBRY8</v>
      </c>
      <c r="Q69" t="str">
        <f t="shared" si="10"/>
        <v>SAINVAL-NOEL</v>
      </c>
      <c r="R69" t="str">
        <f t="shared" si="11"/>
        <v>Ferdinand</v>
      </c>
      <c r="S69">
        <f t="shared" si="12"/>
        <v>711</v>
      </c>
      <c r="T69">
        <f t="shared" si="13"/>
        <v>55358118</v>
      </c>
      <c r="U69" t="s">
        <v>1016</v>
      </c>
    </row>
    <row r="70" spans="1:21" hidden="1" x14ac:dyDescent="0.2">
      <c r="A70" s="186" t="s">
        <v>131</v>
      </c>
      <c r="B70" s="128">
        <f t="shared" si="8"/>
        <v>9</v>
      </c>
      <c r="C70" s="128" t="s">
        <v>708</v>
      </c>
      <c r="D70" s="128" t="s">
        <v>717</v>
      </c>
      <c r="E70" s="127">
        <v>990</v>
      </c>
      <c r="F70" s="127">
        <v>55352091</v>
      </c>
      <c r="G70" s="127" t="s">
        <v>1643</v>
      </c>
      <c r="H70" s="187"/>
      <c r="I70" s="187"/>
      <c r="P70" t="str">
        <f t="shared" si="9"/>
        <v>CHAMBRY9</v>
      </c>
      <c r="Q70" t="str">
        <f t="shared" si="10"/>
        <v>VAVASSEUR-DESPERRIERS</v>
      </c>
      <c r="R70" t="str">
        <f t="shared" si="11"/>
        <v>Armand</v>
      </c>
      <c r="S70">
        <f t="shared" si="12"/>
        <v>990</v>
      </c>
      <c r="T70">
        <f t="shared" si="13"/>
        <v>55352091</v>
      </c>
      <c r="U70" t="s">
        <v>723</v>
      </c>
    </row>
    <row r="71" spans="1:21" hidden="1" x14ac:dyDescent="0.2">
      <c r="A71" s="186" t="s">
        <v>131</v>
      </c>
      <c r="B71" s="128">
        <f t="shared" si="8"/>
        <v>10</v>
      </c>
      <c r="C71" s="128" t="s">
        <v>43</v>
      </c>
      <c r="D71" s="128" t="s">
        <v>289</v>
      </c>
      <c r="E71" s="127">
        <v>844</v>
      </c>
      <c r="F71" s="127">
        <v>55354871</v>
      </c>
      <c r="G71" s="127" t="s">
        <v>1643</v>
      </c>
      <c r="H71" s="187"/>
      <c r="I71" s="187"/>
      <c r="P71" t="str">
        <f t="shared" si="9"/>
        <v>CHAMBRY10</v>
      </c>
      <c r="Q71" t="str">
        <f t="shared" si="10"/>
        <v>WARTELLE</v>
      </c>
      <c r="R71" t="str">
        <f t="shared" si="11"/>
        <v>Laurent</v>
      </c>
      <c r="S71">
        <f t="shared" si="12"/>
        <v>844</v>
      </c>
      <c r="T71">
        <f t="shared" si="13"/>
        <v>55354871</v>
      </c>
      <c r="U71" t="s">
        <v>170</v>
      </c>
    </row>
    <row r="72" spans="1:21" hidden="1" x14ac:dyDescent="0.2">
      <c r="A72" s="186" t="s">
        <v>128</v>
      </c>
      <c r="B72" s="128">
        <f t="shared" si="8"/>
        <v>1</v>
      </c>
      <c r="C72" s="128" t="s">
        <v>49</v>
      </c>
      <c r="D72" s="128" t="s">
        <v>287</v>
      </c>
      <c r="E72" s="127">
        <v>561</v>
      </c>
      <c r="F72" s="127">
        <v>87421142</v>
      </c>
      <c r="G72" s="127" t="s">
        <v>1643</v>
      </c>
      <c r="H72" s="187"/>
      <c r="I72" s="187"/>
      <c r="P72" t="str">
        <f t="shared" si="9"/>
        <v>COULOMMIERS1</v>
      </c>
      <c r="Q72" t="str">
        <f t="shared" si="10"/>
        <v>ANDRE</v>
      </c>
      <c r="R72" t="str">
        <f t="shared" si="11"/>
        <v>Fabrice</v>
      </c>
      <c r="S72">
        <f t="shared" si="12"/>
        <v>561</v>
      </c>
      <c r="T72">
        <f t="shared" si="13"/>
        <v>87421142</v>
      </c>
      <c r="U72" t="s">
        <v>171</v>
      </c>
    </row>
    <row r="73" spans="1:21" hidden="1" x14ac:dyDescent="0.2">
      <c r="A73" s="186" t="s">
        <v>128</v>
      </c>
      <c r="B73" s="128">
        <f t="shared" si="8"/>
        <v>2</v>
      </c>
      <c r="C73" s="128" t="s">
        <v>1149</v>
      </c>
      <c r="D73" s="128" t="s">
        <v>364</v>
      </c>
      <c r="E73" s="127">
        <v>593</v>
      </c>
      <c r="F73" s="127">
        <v>97102272</v>
      </c>
      <c r="G73" s="127" t="s">
        <v>1643</v>
      </c>
      <c r="H73" s="187"/>
      <c r="I73" s="187"/>
      <c r="P73" t="str">
        <f t="shared" si="9"/>
        <v>COULOMMIERS2</v>
      </c>
      <c r="Q73" t="str">
        <f t="shared" si="10"/>
        <v>ANDREI</v>
      </c>
      <c r="R73" t="str">
        <f t="shared" si="11"/>
        <v>Gabriel</v>
      </c>
      <c r="S73">
        <f t="shared" si="12"/>
        <v>593</v>
      </c>
      <c r="T73">
        <f t="shared" si="13"/>
        <v>97102272</v>
      </c>
      <c r="U73" t="s">
        <v>1366</v>
      </c>
    </row>
    <row r="74" spans="1:21" hidden="1" x14ac:dyDescent="0.2">
      <c r="A74" s="186" t="s">
        <v>128</v>
      </c>
      <c r="B74" s="128">
        <f t="shared" si="8"/>
        <v>3</v>
      </c>
      <c r="C74" s="128" t="s">
        <v>1071</v>
      </c>
      <c r="D74" s="128" t="s">
        <v>1092</v>
      </c>
      <c r="E74" s="127">
        <v>503</v>
      </c>
      <c r="F74" s="127">
        <v>97101833</v>
      </c>
      <c r="G74" s="127" t="s">
        <v>1643</v>
      </c>
      <c r="H74" s="187"/>
      <c r="I74" s="187"/>
      <c r="P74" t="str">
        <f t="shared" si="9"/>
        <v>COULOMMIERS3</v>
      </c>
      <c r="Q74" t="str">
        <f t="shared" si="10"/>
        <v>DELIGNY</v>
      </c>
      <c r="R74" t="str">
        <f t="shared" si="11"/>
        <v>Serge</v>
      </c>
      <c r="S74">
        <f t="shared" si="12"/>
        <v>503</v>
      </c>
      <c r="T74">
        <f t="shared" si="13"/>
        <v>97101833</v>
      </c>
      <c r="U74" t="s">
        <v>1113</v>
      </c>
    </row>
    <row r="75" spans="1:21" hidden="1" x14ac:dyDescent="0.2">
      <c r="A75" s="186" t="s">
        <v>128</v>
      </c>
      <c r="B75" s="128">
        <f t="shared" si="8"/>
        <v>4</v>
      </c>
      <c r="C75" s="128" t="s">
        <v>1069</v>
      </c>
      <c r="D75" s="128" t="s">
        <v>319</v>
      </c>
      <c r="E75" s="127">
        <v>538</v>
      </c>
      <c r="F75" s="127">
        <v>55359639</v>
      </c>
      <c r="G75" s="127" t="s">
        <v>1643</v>
      </c>
      <c r="H75" s="187"/>
      <c r="I75" s="187"/>
      <c r="P75" t="str">
        <f t="shared" si="9"/>
        <v>COULOMMIERS4</v>
      </c>
      <c r="Q75" t="str">
        <f t="shared" si="10"/>
        <v>DHORBAIT</v>
      </c>
      <c r="R75" t="str">
        <f t="shared" si="11"/>
        <v>Didier</v>
      </c>
      <c r="S75">
        <f t="shared" si="12"/>
        <v>538</v>
      </c>
      <c r="T75">
        <f t="shared" si="13"/>
        <v>55359639</v>
      </c>
      <c r="U75" t="s">
        <v>1111</v>
      </c>
    </row>
    <row r="76" spans="1:21" hidden="1" x14ac:dyDescent="0.2">
      <c r="A76" s="186" t="s">
        <v>128</v>
      </c>
      <c r="B76" s="128">
        <f t="shared" si="8"/>
        <v>5</v>
      </c>
      <c r="C76" s="189" t="s">
        <v>519</v>
      </c>
      <c r="D76" s="189" t="s">
        <v>500</v>
      </c>
      <c r="E76" s="127">
        <v>1267</v>
      </c>
      <c r="F76" s="127">
        <v>97054765</v>
      </c>
      <c r="G76" s="127" t="s">
        <v>1856</v>
      </c>
      <c r="H76" s="187"/>
      <c r="I76" s="187"/>
      <c r="P76" t="str">
        <f t="shared" si="9"/>
        <v>COULOMMIERS5</v>
      </c>
      <c r="Q76" t="str">
        <f t="shared" si="10"/>
        <v>DUBREUIL</v>
      </c>
      <c r="R76" t="str">
        <f t="shared" si="11"/>
        <v>Hervé</v>
      </c>
      <c r="S76">
        <f t="shared" si="12"/>
        <v>1267</v>
      </c>
      <c r="T76">
        <f t="shared" si="13"/>
        <v>97054765</v>
      </c>
      <c r="U76" t="s">
        <v>649</v>
      </c>
    </row>
    <row r="77" spans="1:21" hidden="1" x14ac:dyDescent="0.2">
      <c r="A77" s="186" t="s">
        <v>128</v>
      </c>
      <c r="B77" s="128">
        <f t="shared" si="8"/>
        <v>6</v>
      </c>
      <c r="C77" s="128" t="s">
        <v>846</v>
      </c>
      <c r="D77" s="128" t="s">
        <v>872</v>
      </c>
      <c r="E77" s="127">
        <v>579</v>
      </c>
      <c r="F77" s="127">
        <v>97092939</v>
      </c>
      <c r="G77" s="127" t="s">
        <v>1643</v>
      </c>
      <c r="H77" s="187"/>
      <c r="I77" s="187"/>
      <c r="P77" t="str">
        <f t="shared" si="9"/>
        <v>COULOMMIERS6</v>
      </c>
      <c r="Q77" t="str">
        <f t="shared" si="10"/>
        <v>FICHER</v>
      </c>
      <c r="R77" t="str">
        <f t="shared" si="11"/>
        <v>Clement</v>
      </c>
      <c r="S77">
        <f t="shared" si="12"/>
        <v>579</v>
      </c>
      <c r="T77">
        <f t="shared" si="13"/>
        <v>97092939</v>
      </c>
      <c r="U77" t="s">
        <v>905</v>
      </c>
    </row>
    <row r="78" spans="1:21" hidden="1" x14ac:dyDescent="0.2">
      <c r="A78" s="186" t="s">
        <v>128</v>
      </c>
      <c r="B78" s="128">
        <f t="shared" si="8"/>
        <v>7</v>
      </c>
      <c r="C78" s="128" t="s">
        <v>1070</v>
      </c>
      <c r="D78" s="128" t="s">
        <v>1285</v>
      </c>
      <c r="E78" s="127">
        <v>500</v>
      </c>
      <c r="F78" s="127">
        <v>97110711</v>
      </c>
      <c r="G78" s="127" t="s">
        <v>1643</v>
      </c>
      <c r="H78" s="187"/>
      <c r="I78" s="187"/>
      <c r="P78" t="str">
        <f t="shared" si="9"/>
        <v>COULOMMIERS7</v>
      </c>
      <c r="Q78" t="str">
        <f t="shared" si="10"/>
        <v>HASSAN</v>
      </c>
      <c r="R78" t="str">
        <f t="shared" si="11"/>
        <v>Jean-Claude</v>
      </c>
      <c r="S78">
        <f t="shared" si="12"/>
        <v>500</v>
      </c>
      <c r="T78">
        <f t="shared" si="13"/>
        <v>97110711</v>
      </c>
      <c r="U78" t="s">
        <v>1859</v>
      </c>
    </row>
    <row r="79" spans="1:21" hidden="1" x14ac:dyDescent="0.2">
      <c r="A79" s="186" t="s">
        <v>128</v>
      </c>
      <c r="B79" s="128">
        <f t="shared" si="8"/>
        <v>8</v>
      </c>
      <c r="C79" s="128" t="s">
        <v>1070</v>
      </c>
      <c r="D79" s="128" t="s">
        <v>639</v>
      </c>
      <c r="E79" s="127">
        <v>623</v>
      </c>
      <c r="F79" s="127">
        <v>97101834</v>
      </c>
      <c r="G79" s="127" t="s">
        <v>1643</v>
      </c>
      <c r="H79" s="187"/>
      <c r="I79" s="187"/>
      <c r="P79" t="str">
        <f t="shared" si="9"/>
        <v>COULOMMIERS8</v>
      </c>
      <c r="Q79" t="str">
        <f t="shared" si="10"/>
        <v>HASSAN</v>
      </c>
      <c r="R79" t="str">
        <f t="shared" si="11"/>
        <v>Sébastien</v>
      </c>
      <c r="S79">
        <f t="shared" si="12"/>
        <v>623</v>
      </c>
      <c r="T79">
        <f t="shared" si="13"/>
        <v>97101834</v>
      </c>
      <c r="U79" t="s">
        <v>1131</v>
      </c>
    </row>
    <row r="80" spans="1:21" hidden="1" x14ac:dyDescent="0.2">
      <c r="A80" s="186" t="s">
        <v>128</v>
      </c>
      <c r="B80" s="128">
        <f t="shared" si="8"/>
        <v>9</v>
      </c>
      <c r="C80" s="128" t="s">
        <v>847</v>
      </c>
      <c r="D80" s="128" t="s">
        <v>873</v>
      </c>
      <c r="E80" s="127">
        <v>500</v>
      </c>
      <c r="F80" s="127">
        <v>97092941</v>
      </c>
      <c r="G80" s="127" t="s">
        <v>1643</v>
      </c>
      <c r="H80" s="187"/>
      <c r="I80" s="187"/>
      <c r="P80" t="str">
        <f t="shared" si="9"/>
        <v>COULOMMIERS9</v>
      </c>
      <c r="Q80" t="str">
        <f t="shared" si="10"/>
        <v>LAMBOLEZ</v>
      </c>
      <c r="R80" t="str">
        <f t="shared" si="11"/>
        <v>Aaron</v>
      </c>
      <c r="S80">
        <f t="shared" si="12"/>
        <v>500</v>
      </c>
      <c r="T80">
        <f t="shared" si="13"/>
        <v>97092941</v>
      </c>
      <c r="U80" t="s">
        <v>906</v>
      </c>
    </row>
    <row r="81" spans="1:21" hidden="1" x14ac:dyDescent="0.2">
      <c r="A81" s="186" t="s">
        <v>128</v>
      </c>
      <c r="B81" s="128">
        <f t="shared" si="8"/>
        <v>10</v>
      </c>
      <c r="C81" s="128" t="s">
        <v>742</v>
      </c>
      <c r="D81" s="128" t="s">
        <v>1011</v>
      </c>
      <c r="E81" s="127">
        <v>500</v>
      </c>
      <c r="F81" s="127">
        <v>97090269</v>
      </c>
      <c r="G81" s="127" t="s">
        <v>1856</v>
      </c>
      <c r="H81" s="187"/>
      <c r="I81" s="187"/>
      <c r="P81" t="str">
        <f t="shared" si="9"/>
        <v>COULOMMIERS10</v>
      </c>
      <c r="Q81" t="str">
        <f t="shared" si="10"/>
        <v>LASSUYT</v>
      </c>
      <c r="R81" t="str">
        <f t="shared" si="11"/>
        <v>Claudine</v>
      </c>
      <c r="S81">
        <f t="shared" si="12"/>
        <v>500</v>
      </c>
      <c r="T81">
        <f t="shared" si="13"/>
        <v>97090269</v>
      </c>
      <c r="U81" t="s">
        <v>1017</v>
      </c>
    </row>
    <row r="82" spans="1:21" hidden="1" x14ac:dyDescent="0.2">
      <c r="A82" s="186" t="s">
        <v>128</v>
      </c>
      <c r="B82" s="128">
        <f t="shared" si="8"/>
        <v>11</v>
      </c>
      <c r="C82" s="128" t="s">
        <v>742</v>
      </c>
      <c r="D82" s="128" t="s">
        <v>758</v>
      </c>
      <c r="E82" s="127">
        <v>616</v>
      </c>
      <c r="F82" s="127">
        <v>97079234</v>
      </c>
      <c r="G82" s="127" t="s">
        <v>1856</v>
      </c>
      <c r="H82" s="187"/>
      <c r="I82" s="187"/>
      <c r="P82" t="str">
        <f t="shared" si="9"/>
        <v>COULOMMIERS11</v>
      </c>
      <c r="Q82" t="str">
        <f t="shared" si="10"/>
        <v>LASSUYT</v>
      </c>
      <c r="R82" t="str">
        <f t="shared" si="11"/>
        <v>Sylvie</v>
      </c>
      <c r="S82">
        <f t="shared" si="12"/>
        <v>616</v>
      </c>
      <c r="T82">
        <f t="shared" si="13"/>
        <v>97079234</v>
      </c>
      <c r="U82" t="s">
        <v>775</v>
      </c>
    </row>
    <row r="83" spans="1:21" hidden="1" x14ac:dyDescent="0.2">
      <c r="A83" s="186" t="s">
        <v>128</v>
      </c>
      <c r="B83" s="128">
        <f t="shared" si="8"/>
        <v>12</v>
      </c>
      <c r="C83" s="128" t="s">
        <v>47</v>
      </c>
      <c r="D83" s="128" t="s">
        <v>320</v>
      </c>
      <c r="E83" s="127">
        <v>590</v>
      </c>
      <c r="F83" s="127">
        <v>47346235</v>
      </c>
      <c r="G83" s="127" t="s">
        <v>1643</v>
      </c>
      <c r="H83" s="187"/>
      <c r="I83" s="187"/>
      <c r="P83" t="str">
        <f t="shared" si="9"/>
        <v>COULOMMIERS12</v>
      </c>
      <c r="Q83" t="str">
        <f t="shared" si="10"/>
        <v>LE ROUX</v>
      </c>
      <c r="R83" t="str">
        <f t="shared" si="11"/>
        <v>Mathieu</v>
      </c>
      <c r="S83">
        <f t="shared" si="12"/>
        <v>590</v>
      </c>
      <c r="T83">
        <f t="shared" si="13"/>
        <v>47346235</v>
      </c>
      <c r="U83" t="s">
        <v>172</v>
      </c>
    </row>
    <row r="84" spans="1:21" hidden="1" x14ac:dyDescent="0.2">
      <c r="A84" s="186" t="s">
        <v>128</v>
      </c>
      <c r="B84" s="128">
        <f t="shared" si="8"/>
        <v>13</v>
      </c>
      <c r="C84" s="128" t="s">
        <v>848</v>
      </c>
      <c r="D84" s="128" t="s">
        <v>660</v>
      </c>
      <c r="E84" s="127">
        <v>685</v>
      </c>
      <c r="F84" s="127">
        <v>97092942</v>
      </c>
      <c r="G84" s="127" t="s">
        <v>1856</v>
      </c>
      <c r="H84" s="187"/>
      <c r="I84" s="187"/>
      <c r="P84" t="str">
        <f t="shared" si="9"/>
        <v>COULOMMIERS13</v>
      </c>
      <c r="Q84" t="str">
        <f t="shared" si="10"/>
        <v>LECLERCQ</v>
      </c>
      <c r="R84" t="str">
        <f t="shared" si="11"/>
        <v>Diego</v>
      </c>
      <c r="S84">
        <f t="shared" si="12"/>
        <v>685</v>
      </c>
      <c r="T84">
        <f t="shared" si="13"/>
        <v>97092942</v>
      </c>
      <c r="U84" t="s">
        <v>907</v>
      </c>
    </row>
    <row r="85" spans="1:21" hidden="1" x14ac:dyDescent="0.2">
      <c r="A85" s="186" t="s">
        <v>128</v>
      </c>
      <c r="B85" s="128">
        <f t="shared" si="8"/>
        <v>14</v>
      </c>
      <c r="C85" s="128" t="s">
        <v>848</v>
      </c>
      <c r="D85" s="128" t="s">
        <v>661</v>
      </c>
      <c r="E85" s="127">
        <v>513</v>
      </c>
      <c r="F85" s="127">
        <v>97092943</v>
      </c>
      <c r="G85" s="127" t="s">
        <v>1856</v>
      </c>
      <c r="H85" s="187"/>
      <c r="I85" s="187"/>
      <c r="P85" t="str">
        <f t="shared" si="9"/>
        <v>COULOMMIERS14</v>
      </c>
      <c r="Q85" t="str">
        <f t="shared" si="10"/>
        <v>LECLERCQ</v>
      </c>
      <c r="R85" t="str">
        <f t="shared" si="11"/>
        <v>Enzo</v>
      </c>
      <c r="S85">
        <f t="shared" si="12"/>
        <v>513</v>
      </c>
      <c r="T85">
        <f t="shared" si="13"/>
        <v>97092943</v>
      </c>
      <c r="U85" t="s">
        <v>908</v>
      </c>
    </row>
    <row r="86" spans="1:21" hidden="1" x14ac:dyDescent="0.2">
      <c r="A86" s="186" t="s">
        <v>128</v>
      </c>
      <c r="B86" s="128">
        <f t="shared" si="8"/>
        <v>15</v>
      </c>
      <c r="C86" s="128" t="s">
        <v>110</v>
      </c>
      <c r="D86" s="128" t="s">
        <v>1091</v>
      </c>
      <c r="E86" s="127">
        <v>708</v>
      </c>
      <c r="F86" s="127">
        <v>97101835</v>
      </c>
      <c r="G86" s="127" t="s">
        <v>1643</v>
      </c>
      <c r="H86" s="187"/>
      <c r="I86" s="187"/>
      <c r="P86" t="str">
        <f t="shared" si="9"/>
        <v>COULOMMIERS15</v>
      </c>
      <c r="Q86" t="str">
        <f t="shared" si="10"/>
        <v>LEDUC</v>
      </c>
      <c r="R86" t="str">
        <f t="shared" si="11"/>
        <v>Claudia</v>
      </c>
      <c r="S86">
        <f t="shared" si="12"/>
        <v>708</v>
      </c>
      <c r="T86">
        <f t="shared" si="13"/>
        <v>97101835</v>
      </c>
      <c r="U86" t="s">
        <v>1112</v>
      </c>
    </row>
    <row r="87" spans="1:21" hidden="1" x14ac:dyDescent="0.2">
      <c r="A87" s="186" t="s">
        <v>128</v>
      </c>
      <c r="B87" s="128">
        <f t="shared" si="8"/>
        <v>16</v>
      </c>
      <c r="C87" s="128" t="s">
        <v>245</v>
      </c>
      <c r="D87" s="128" t="s">
        <v>321</v>
      </c>
      <c r="E87" s="127">
        <v>721</v>
      </c>
      <c r="F87" s="127">
        <v>87464575</v>
      </c>
      <c r="G87" s="127" t="s">
        <v>1643</v>
      </c>
      <c r="H87" s="187"/>
      <c r="I87" s="187"/>
      <c r="P87" t="str">
        <f t="shared" si="9"/>
        <v>COULOMMIERS16</v>
      </c>
      <c r="Q87" t="str">
        <f t="shared" si="10"/>
        <v>MIREAUX</v>
      </c>
      <c r="R87" t="str">
        <f t="shared" si="11"/>
        <v>Jean</v>
      </c>
      <c r="S87">
        <f t="shared" si="12"/>
        <v>721</v>
      </c>
      <c r="T87">
        <f t="shared" si="13"/>
        <v>87464575</v>
      </c>
      <c r="U87" t="s">
        <v>249</v>
      </c>
    </row>
    <row r="88" spans="1:21" hidden="1" x14ac:dyDescent="0.2">
      <c r="A88" s="186" t="s">
        <v>128</v>
      </c>
      <c r="B88" s="128">
        <f t="shared" si="8"/>
        <v>17</v>
      </c>
      <c r="C88" s="128" t="s">
        <v>586</v>
      </c>
      <c r="D88" s="128" t="s">
        <v>518</v>
      </c>
      <c r="E88" s="127">
        <v>2036</v>
      </c>
      <c r="F88" s="127">
        <v>97075229</v>
      </c>
      <c r="G88" s="127" t="s">
        <v>1643</v>
      </c>
      <c r="H88" s="187"/>
      <c r="I88" s="187"/>
      <c r="P88" t="str">
        <f t="shared" si="9"/>
        <v>COULOMMIERS17</v>
      </c>
      <c r="Q88" t="str">
        <f t="shared" si="10"/>
        <v>PAYSAL</v>
      </c>
      <c r="R88" t="str">
        <f t="shared" si="11"/>
        <v>Frédéric</v>
      </c>
      <c r="S88">
        <f t="shared" si="12"/>
        <v>2036</v>
      </c>
      <c r="T88">
        <f t="shared" si="13"/>
        <v>97075229</v>
      </c>
      <c r="U88" t="s">
        <v>587</v>
      </c>
    </row>
    <row r="89" spans="1:21" hidden="1" x14ac:dyDescent="0.2">
      <c r="A89" s="186" t="s">
        <v>128</v>
      </c>
      <c r="B89" s="128">
        <f t="shared" si="8"/>
        <v>18</v>
      </c>
      <c r="C89" s="128" t="s">
        <v>46</v>
      </c>
      <c r="D89" s="128" t="s">
        <v>323</v>
      </c>
      <c r="E89" s="127">
        <v>679</v>
      </c>
      <c r="F89" s="127">
        <v>3551950</v>
      </c>
      <c r="G89" s="127" t="s">
        <v>1643</v>
      </c>
      <c r="H89" s="187"/>
      <c r="I89" s="187"/>
      <c r="P89" t="str">
        <f t="shared" si="9"/>
        <v>COULOMMIERS18</v>
      </c>
      <c r="Q89" t="str">
        <f t="shared" si="10"/>
        <v>TANGUY</v>
      </c>
      <c r="R89" t="str">
        <f t="shared" si="11"/>
        <v>Agnes</v>
      </c>
      <c r="S89">
        <f t="shared" si="12"/>
        <v>679</v>
      </c>
      <c r="T89">
        <f t="shared" si="13"/>
        <v>3551950</v>
      </c>
      <c r="U89" t="s">
        <v>173</v>
      </c>
    </row>
    <row r="90" spans="1:21" hidden="1" x14ac:dyDescent="0.2">
      <c r="A90" s="186" t="s">
        <v>128</v>
      </c>
      <c r="B90" s="128">
        <f t="shared" si="8"/>
        <v>19</v>
      </c>
      <c r="C90" s="128" t="s">
        <v>46</v>
      </c>
      <c r="D90" s="128" t="s">
        <v>577</v>
      </c>
      <c r="E90" s="127">
        <v>502</v>
      </c>
      <c r="F90" s="127">
        <v>87465761</v>
      </c>
      <c r="G90" s="127" t="s">
        <v>1856</v>
      </c>
      <c r="H90" s="187"/>
      <c r="I90" s="187"/>
      <c r="P90" t="str">
        <f t="shared" si="9"/>
        <v>COULOMMIERS19</v>
      </c>
      <c r="Q90" t="str">
        <f t="shared" si="10"/>
        <v>TANGUY</v>
      </c>
      <c r="R90" t="str">
        <f t="shared" si="11"/>
        <v>Ysee</v>
      </c>
      <c r="S90">
        <f t="shared" si="12"/>
        <v>502</v>
      </c>
      <c r="T90">
        <f t="shared" si="13"/>
        <v>87465761</v>
      </c>
      <c r="U90" t="s">
        <v>578</v>
      </c>
    </row>
    <row r="91" spans="1:21" hidden="1" x14ac:dyDescent="0.2">
      <c r="A91" s="186" t="s">
        <v>132</v>
      </c>
      <c r="B91" s="128">
        <f t="shared" si="8"/>
        <v>1</v>
      </c>
      <c r="C91" s="128" t="s">
        <v>1154</v>
      </c>
      <c r="D91" s="128" t="s">
        <v>1280</v>
      </c>
      <c r="E91" s="127">
        <v>500</v>
      </c>
      <c r="F91" s="127">
        <v>97103347</v>
      </c>
      <c r="G91" s="127" t="s">
        <v>1643</v>
      </c>
      <c r="H91" s="187"/>
      <c r="I91" s="187"/>
      <c r="P91" t="str">
        <f t="shared" si="9"/>
        <v>COURTOMER1</v>
      </c>
      <c r="Q91" t="str">
        <f t="shared" si="10"/>
        <v>ALISON</v>
      </c>
      <c r="R91" t="str">
        <f t="shared" si="11"/>
        <v>Cortes</v>
      </c>
      <c r="S91">
        <f t="shared" si="12"/>
        <v>500</v>
      </c>
      <c r="T91">
        <f t="shared" si="13"/>
        <v>97103347</v>
      </c>
      <c r="U91" t="s">
        <v>1371</v>
      </c>
    </row>
    <row r="92" spans="1:21" hidden="1" x14ac:dyDescent="0.2">
      <c r="A92" s="186" t="s">
        <v>132</v>
      </c>
      <c r="B92" s="128">
        <f t="shared" si="8"/>
        <v>2</v>
      </c>
      <c r="C92" s="128" t="s">
        <v>1534</v>
      </c>
      <c r="D92" s="128" t="s">
        <v>1638</v>
      </c>
      <c r="E92" s="127">
        <v>611</v>
      </c>
      <c r="F92" s="127">
        <v>97108942</v>
      </c>
      <c r="G92" s="127" t="s">
        <v>1643</v>
      </c>
      <c r="H92" s="187"/>
      <c r="I92" s="187"/>
      <c r="P92" t="str">
        <f t="shared" si="9"/>
        <v>COURTOMER2</v>
      </c>
      <c r="Q92" t="str">
        <f t="shared" si="10"/>
        <v>BASTIDE</v>
      </c>
      <c r="R92" t="str">
        <f t="shared" si="11"/>
        <v>Antonin</v>
      </c>
      <c r="S92">
        <f t="shared" si="12"/>
        <v>611</v>
      </c>
      <c r="T92">
        <f t="shared" si="13"/>
        <v>97108942</v>
      </c>
      <c r="U92" t="s">
        <v>1648</v>
      </c>
    </row>
    <row r="93" spans="1:21" hidden="1" x14ac:dyDescent="0.2">
      <c r="A93" s="186" t="s">
        <v>132</v>
      </c>
      <c r="B93" s="128">
        <f t="shared" si="8"/>
        <v>3</v>
      </c>
      <c r="C93" s="128" t="s">
        <v>55</v>
      </c>
      <c r="D93" s="128" t="s">
        <v>295</v>
      </c>
      <c r="E93" s="127">
        <v>500</v>
      </c>
      <c r="F93" s="127">
        <v>87416100</v>
      </c>
      <c r="G93" s="127" t="s">
        <v>1856</v>
      </c>
      <c r="H93" s="187"/>
      <c r="I93" s="187"/>
      <c r="P93" t="str">
        <f t="shared" si="9"/>
        <v>COURTOMER3</v>
      </c>
      <c r="Q93" t="str">
        <f t="shared" si="10"/>
        <v>BELLINTANI</v>
      </c>
      <c r="R93" t="str">
        <f t="shared" si="11"/>
        <v>Pascal</v>
      </c>
      <c r="S93">
        <f t="shared" si="12"/>
        <v>500</v>
      </c>
      <c r="T93">
        <f t="shared" si="13"/>
        <v>87416100</v>
      </c>
      <c r="U93" t="s">
        <v>174</v>
      </c>
    </row>
    <row r="94" spans="1:21" hidden="1" x14ac:dyDescent="0.2">
      <c r="A94" s="186" t="s">
        <v>132</v>
      </c>
      <c r="B94" s="128">
        <f t="shared" si="8"/>
        <v>4</v>
      </c>
      <c r="C94" s="128" t="s">
        <v>50</v>
      </c>
      <c r="D94" s="128" t="s">
        <v>295</v>
      </c>
      <c r="E94" s="127">
        <v>1190</v>
      </c>
      <c r="F94" s="127">
        <v>55319253</v>
      </c>
      <c r="G94" s="127" t="s">
        <v>1643</v>
      </c>
      <c r="H94" s="187"/>
      <c r="I94" s="187"/>
      <c r="P94" t="str">
        <f t="shared" si="9"/>
        <v>COURTOMER4</v>
      </c>
      <c r="Q94" t="str">
        <f t="shared" si="10"/>
        <v>BONNEVILLE</v>
      </c>
      <c r="R94" t="str">
        <f t="shared" si="11"/>
        <v>Pascal</v>
      </c>
      <c r="S94">
        <f t="shared" si="12"/>
        <v>1190</v>
      </c>
      <c r="T94">
        <f t="shared" si="13"/>
        <v>55319253</v>
      </c>
      <c r="U94" t="s">
        <v>175</v>
      </c>
    </row>
    <row r="95" spans="1:21" hidden="1" x14ac:dyDescent="0.2">
      <c r="A95" s="186" t="s">
        <v>132</v>
      </c>
      <c r="B95" s="128">
        <f t="shared" si="8"/>
        <v>5</v>
      </c>
      <c r="C95" s="128" t="s">
        <v>1861</v>
      </c>
      <c r="D95" s="128" t="s">
        <v>300</v>
      </c>
      <c r="E95" s="127">
        <v>500</v>
      </c>
      <c r="F95" s="127">
        <v>97109935</v>
      </c>
      <c r="G95" s="127" t="s">
        <v>1643</v>
      </c>
      <c r="H95" s="187"/>
      <c r="I95" s="187"/>
      <c r="P95" t="str">
        <f t="shared" si="9"/>
        <v>COURTOMER5</v>
      </c>
      <c r="Q95" t="str">
        <f t="shared" si="10"/>
        <v>BUISSON</v>
      </c>
      <c r="R95" t="str">
        <f t="shared" si="11"/>
        <v>Adrien</v>
      </c>
      <c r="S95">
        <f t="shared" si="12"/>
        <v>500</v>
      </c>
      <c r="T95">
        <f t="shared" si="13"/>
        <v>97109935</v>
      </c>
      <c r="U95" t="s">
        <v>1954</v>
      </c>
    </row>
    <row r="96" spans="1:21" hidden="1" x14ac:dyDescent="0.2">
      <c r="A96" s="186" t="s">
        <v>132</v>
      </c>
      <c r="B96" s="128">
        <f t="shared" si="8"/>
        <v>6</v>
      </c>
      <c r="C96" s="128" t="s">
        <v>1861</v>
      </c>
      <c r="D96" s="128" t="s">
        <v>290</v>
      </c>
      <c r="E96" s="127">
        <v>500</v>
      </c>
      <c r="F96" s="127">
        <v>97109936</v>
      </c>
      <c r="G96" s="127" t="s">
        <v>1643</v>
      </c>
      <c r="H96" s="187"/>
      <c r="I96" s="187"/>
      <c r="P96" t="str">
        <f t="shared" si="9"/>
        <v>COURTOMER6</v>
      </c>
      <c r="Q96" t="str">
        <f t="shared" si="10"/>
        <v>BUISSON</v>
      </c>
      <c r="R96" t="str">
        <f t="shared" si="11"/>
        <v>Alexandre</v>
      </c>
      <c r="S96">
        <f t="shared" si="12"/>
        <v>500</v>
      </c>
      <c r="T96">
        <f t="shared" si="13"/>
        <v>97109936</v>
      </c>
      <c r="U96" t="s">
        <v>1955</v>
      </c>
    </row>
    <row r="97" spans="1:21" hidden="1" x14ac:dyDescent="0.2">
      <c r="A97" s="186" t="s">
        <v>132</v>
      </c>
      <c r="B97" s="128">
        <f t="shared" si="8"/>
        <v>7</v>
      </c>
      <c r="C97" s="128" t="s">
        <v>1862</v>
      </c>
      <c r="D97" s="128" t="s">
        <v>613</v>
      </c>
      <c r="E97" s="127">
        <v>500</v>
      </c>
      <c r="F97" s="127">
        <v>87459749</v>
      </c>
      <c r="G97" s="127" t="s">
        <v>1643</v>
      </c>
      <c r="H97" s="187"/>
      <c r="I97" s="187"/>
      <c r="P97" t="str">
        <f t="shared" si="9"/>
        <v>COURTOMER7</v>
      </c>
      <c r="Q97" t="str">
        <f t="shared" si="10"/>
        <v>BROSSE</v>
      </c>
      <c r="R97" t="str">
        <f t="shared" si="11"/>
        <v>William</v>
      </c>
      <c r="S97">
        <f t="shared" si="12"/>
        <v>500</v>
      </c>
      <c r="T97">
        <f t="shared" si="13"/>
        <v>87459749</v>
      </c>
      <c r="U97" t="s">
        <v>1956</v>
      </c>
    </row>
    <row r="98" spans="1:21" hidden="1" x14ac:dyDescent="0.2">
      <c r="A98" s="186" t="s">
        <v>132</v>
      </c>
      <c r="B98" s="128">
        <f t="shared" si="8"/>
        <v>8</v>
      </c>
      <c r="C98" s="128" t="s">
        <v>1150</v>
      </c>
      <c r="D98" s="128" t="s">
        <v>707</v>
      </c>
      <c r="E98" s="127">
        <v>500</v>
      </c>
      <c r="F98" s="127">
        <v>87451395</v>
      </c>
      <c r="G98" s="127" t="s">
        <v>1856</v>
      </c>
      <c r="H98" s="187"/>
      <c r="I98" s="187"/>
      <c r="P98" t="str">
        <f t="shared" si="9"/>
        <v>COURTOMER8</v>
      </c>
      <c r="Q98" t="str">
        <f t="shared" si="10"/>
        <v>CABUT</v>
      </c>
      <c r="R98" t="str">
        <f t="shared" si="11"/>
        <v>Alban</v>
      </c>
      <c r="S98">
        <f t="shared" si="12"/>
        <v>500</v>
      </c>
      <c r="T98">
        <f t="shared" si="13"/>
        <v>87451395</v>
      </c>
      <c r="U98" t="s">
        <v>1367</v>
      </c>
    </row>
    <row r="99" spans="1:21" hidden="1" x14ac:dyDescent="0.2">
      <c r="A99" s="186" t="s">
        <v>132</v>
      </c>
      <c r="B99" s="128">
        <f t="shared" ref="B99:B130" si="14">IF(A99=A98,B98+1,1)</f>
        <v>9</v>
      </c>
      <c r="C99" s="128" t="s">
        <v>1860</v>
      </c>
      <c r="D99" s="128" t="s">
        <v>297</v>
      </c>
      <c r="E99" s="127">
        <v>865</v>
      </c>
      <c r="F99" s="127">
        <v>87440033</v>
      </c>
      <c r="G99" s="127" t="s">
        <v>1643</v>
      </c>
      <c r="H99" s="187"/>
      <c r="I99" s="187"/>
      <c r="P99" t="str">
        <f t="shared" ref="P99:P130" si="15">A99&amp;B99</f>
        <v>COURTOMER9</v>
      </c>
      <c r="Q99" t="str">
        <f t="shared" si="10"/>
        <v>CARREIRA</v>
      </c>
      <c r="R99" t="str">
        <f t="shared" si="11"/>
        <v>Nicolas</v>
      </c>
      <c r="S99">
        <f t="shared" si="12"/>
        <v>865</v>
      </c>
      <c r="T99">
        <f t="shared" si="13"/>
        <v>87440033</v>
      </c>
      <c r="U99" t="s">
        <v>1957</v>
      </c>
    </row>
    <row r="100" spans="1:21" hidden="1" x14ac:dyDescent="0.2">
      <c r="A100" s="186" t="s">
        <v>132</v>
      </c>
      <c r="B100" s="128">
        <f t="shared" si="14"/>
        <v>10</v>
      </c>
      <c r="C100" s="128" t="s">
        <v>246</v>
      </c>
      <c r="D100" s="128" t="s">
        <v>326</v>
      </c>
      <c r="E100" s="127">
        <v>500</v>
      </c>
      <c r="F100" s="127">
        <v>87465273</v>
      </c>
      <c r="G100" s="127" t="s">
        <v>1643</v>
      </c>
      <c r="H100" s="187"/>
      <c r="I100" s="187"/>
      <c r="P100" t="str">
        <f t="shared" si="15"/>
        <v>COURTOMER10</v>
      </c>
      <c r="Q100" t="str">
        <f t="shared" si="10"/>
        <v>CHARLES</v>
      </c>
      <c r="R100" t="str">
        <f t="shared" si="11"/>
        <v>Bruno</v>
      </c>
      <c r="S100">
        <f t="shared" si="12"/>
        <v>500</v>
      </c>
      <c r="T100">
        <f t="shared" si="13"/>
        <v>87465273</v>
      </c>
      <c r="U100" t="s">
        <v>260</v>
      </c>
    </row>
    <row r="101" spans="1:21" hidden="1" x14ac:dyDescent="0.2">
      <c r="A101" s="186" t="s">
        <v>132</v>
      </c>
      <c r="B101" s="128">
        <f t="shared" si="14"/>
        <v>11</v>
      </c>
      <c r="C101" s="128" t="s">
        <v>246</v>
      </c>
      <c r="D101" s="128" t="s">
        <v>327</v>
      </c>
      <c r="E101" s="127">
        <v>500</v>
      </c>
      <c r="F101" s="127">
        <v>87465272</v>
      </c>
      <c r="G101" s="127" t="s">
        <v>1856</v>
      </c>
      <c r="H101" s="187"/>
      <c r="I101" s="187"/>
      <c r="P101" t="str">
        <f t="shared" si="15"/>
        <v>COURTOMER11</v>
      </c>
      <c r="Q101" t="str">
        <f t="shared" si="10"/>
        <v>CHARLES</v>
      </c>
      <c r="R101" t="str">
        <f t="shared" si="11"/>
        <v>Julie</v>
      </c>
      <c r="S101">
        <f t="shared" si="12"/>
        <v>500</v>
      </c>
      <c r="T101">
        <f t="shared" si="13"/>
        <v>87465272</v>
      </c>
      <c r="U101" t="s">
        <v>250</v>
      </c>
    </row>
    <row r="102" spans="1:21" hidden="1" x14ac:dyDescent="0.2">
      <c r="A102" s="186" t="s">
        <v>132</v>
      </c>
      <c r="B102" s="128">
        <f t="shared" si="14"/>
        <v>12</v>
      </c>
      <c r="C102" s="128" t="s">
        <v>53</v>
      </c>
      <c r="D102" s="128" t="s">
        <v>626</v>
      </c>
      <c r="E102" s="127">
        <v>500</v>
      </c>
      <c r="F102" s="127">
        <v>97075812</v>
      </c>
      <c r="G102" s="127" t="s">
        <v>1643</v>
      </c>
      <c r="H102" s="187"/>
      <c r="I102" s="187"/>
      <c r="P102" t="str">
        <f t="shared" si="15"/>
        <v>COURTOMER12</v>
      </c>
      <c r="Q102" t="str">
        <f t="shared" si="10"/>
        <v>COCHELIN</v>
      </c>
      <c r="R102" t="str">
        <f t="shared" si="11"/>
        <v>Céline</v>
      </c>
      <c r="S102">
        <f t="shared" si="12"/>
        <v>500</v>
      </c>
      <c r="T102">
        <f t="shared" si="13"/>
        <v>97075812</v>
      </c>
      <c r="U102" t="s">
        <v>693</v>
      </c>
    </row>
    <row r="103" spans="1:21" hidden="1" x14ac:dyDescent="0.2">
      <c r="A103" s="186" t="s">
        <v>132</v>
      </c>
      <c r="B103" s="128">
        <f t="shared" si="14"/>
        <v>13</v>
      </c>
      <c r="C103" s="128" t="s">
        <v>53</v>
      </c>
      <c r="D103" s="128" t="s">
        <v>328</v>
      </c>
      <c r="E103" s="127">
        <v>799</v>
      </c>
      <c r="F103" s="127">
        <v>55355078</v>
      </c>
      <c r="G103" s="127" t="s">
        <v>1643</v>
      </c>
      <c r="H103" s="187"/>
      <c r="I103" s="187"/>
      <c r="P103" t="str">
        <f t="shared" si="15"/>
        <v>COURTOMER13</v>
      </c>
      <c r="Q103" t="str">
        <f t="shared" si="10"/>
        <v>COCHELIN</v>
      </c>
      <c r="R103" t="str">
        <f t="shared" si="11"/>
        <v>Xavier</v>
      </c>
      <c r="S103">
        <f t="shared" si="12"/>
        <v>799</v>
      </c>
      <c r="T103">
        <f t="shared" si="13"/>
        <v>55355078</v>
      </c>
      <c r="U103" t="s">
        <v>176</v>
      </c>
    </row>
    <row r="104" spans="1:21" hidden="1" x14ac:dyDescent="0.2">
      <c r="A104" s="186" t="s">
        <v>132</v>
      </c>
      <c r="B104" s="128">
        <f t="shared" si="14"/>
        <v>14</v>
      </c>
      <c r="C104" s="128" t="s">
        <v>450</v>
      </c>
      <c r="D104" s="128" t="s">
        <v>315</v>
      </c>
      <c r="E104" s="127">
        <v>500</v>
      </c>
      <c r="F104" s="127">
        <v>97057997</v>
      </c>
      <c r="G104" s="127" t="s">
        <v>1856</v>
      </c>
      <c r="H104" s="187"/>
      <c r="I104" s="187"/>
      <c r="P104" t="str">
        <f t="shared" si="15"/>
        <v>COURTOMER14</v>
      </c>
      <c r="Q104" t="str">
        <f t="shared" si="10"/>
        <v>COELHO</v>
      </c>
      <c r="R104" t="str">
        <f t="shared" si="11"/>
        <v>Antoine</v>
      </c>
      <c r="S104">
        <f t="shared" si="12"/>
        <v>500</v>
      </c>
      <c r="T104">
        <f t="shared" si="13"/>
        <v>97057997</v>
      </c>
      <c r="U104" t="s">
        <v>451</v>
      </c>
    </row>
    <row r="105" spans="1:21" hidden="1" x14ac:dyDescent="0.2">
      <c r="A105" s="186" t="s">
        <v>132</v>
      </c>
      <c r="B105" s="128">
        <f t="shared" si="14"/>
        <v>15</v>
      </c>
      <c r="C105" s="128" t="s">
        <v>1153</v>
      </c>
      <c r="D105" s="128" t="s">
        <v>1279</v>
      </c>
      <c r="E105" s="127">
        <v>500</v>
      </c>
      <c r="F105" s="127">
        <v>97103348</v>
      </c>
      <c r="G105" s="127" t="s">
        <v>1856</v>
      </c>
      <c r="H105" s="187"/>
      <c r="I105" s="187"/>
      <c r="P105" t="str">
        <f t="shared" si="15"/>
        <v>COURTOMER15</v>
      </c>
      <c r="Q105" t="str">
        <f t="shared" si="10"/>
        <v>CORMIER</v>
      </c>
      <c r="R105" t="str">
        <f t="shared" si="11"/>
        <v>Natheo</v>
      </c>
      <c r="S105">
        <f t="shared" si="12"/>
        <v>500</v>
      </c>
      <c r="T105">
        <f t="shared" si="13"/>
        <v>97103348</v>
      </c>
      <c r="U105" t="s">
        <v>1370</v>
      </c>
    </row>
    <row r="106" spans="1:21" hidden="1" x14ac:dyDescent="0.2">
      <c r="A106" s="186" t="s">
        <v>132</v>
      </c>
      <c r="B106" s="128">
        <f t="shared" si="14"/>
        <v>16</v>
      </c>
      <c r="C106" s="128" t="s">
        <v>743</v>
      </c>
      <c r="D106" s="128" t="s">
        <v>759</v>
      </c>
      <c r="E106" s="127">
        <v>500</v>
      </c>
      <c r="F106" s="127">
        <v>87459751</v>
      </c>
      <c r="G106" s="127" t="s">
        <v>1643</v>
      </c>
      <c r="H106" s="187"/>
      <c r="I106" s="187"/>
      <c r="P106" t="str">
        <f t="shared" si="15"/>
        <v>COURTOMER16</v>
      </c>
      <c r="Q106" t="str">
        <f t="shared" si="10"/>
        <v>DAS NEVES</v>
      </c>
      <c r="R106" t="str">
        <f t="shared" si="11"/>
        <v>Maël</v>
      </c>
      <c r="S106">
        <f t="shared" si="12"/>
        <v>500</v>
      </c>
      <c r="T106">
        <f t="shared" si="13"/>
        <v>87459751</v>
      </c>
      <c r="U106" t="s">
        <v>787</v>
      </c>
    </row>
    <row r="107" spans="1:21" hidden="1" x14ac:dyDescent="0.2">
      <c r="A107" s="186" t="s">
        <v>132</v>
      </c>
      <c r="B107" s="128">
        <f t="shared" si="14"/>
        <v>17</v>
      </c>
      <c r="C107" s="128" t="s">
        <v>743</v>
      </c>
      <c r="D107" s="128" t="s">
        <v>449</v>
      </c>
      <c r="E107" s="127">
        <v>500</v>
      </c>
      <c r="F107" s="127">
        <v>87436224</v>
      </c>
      <c r="G107" s="127" t="s">
        <v>1643</v>
      </c>
      <c r="H107" s="187"/>
      <c r="I107" s="187"/>
      <c r="P107" t="str">
        <f t="shared" si="15"/>
        <v>COURTOMER17</v>
      </c>
      <c r="Q107" t="str">
        <f t="shared" si="10"/>
        <v>DAS NEVES</v>
      </c>
      <c r="R107" t="str">
        <f t="shared" si="11"/>
        <v>Nolan</v>
      </c>
      <c r="S107">
        <f t="shared" si="12"/>
        <v>500</v>
      </c>
      <c r="T107">
        <f t="shared" si="13"/>
        <v>87436224</v>
      </c>
      <c r="U107" t="s">
        <v>788</v>
      </c>
    </row>
    <row r="108" spans="1:21" hidden="1" x14ac:dyDescent="0.2">
      <c r="A108" s="186" t="s">
        <v>132</v>
      </c>
      <c r="B108" s="128">
        <f t="shared" si="14"/>
        <v>18</v>
      </c>
      <c r="C108" s="128" t="s">
        <v>54</v>
      </c>
      <c r="D108" s="128" t="s">
        <v>308</v>
      </c>
      <c r="E108" s="127">
        <v>500</v>
      </c>
      <c r="F108" s="127">
        <v>55363525</v>
      </c>
      <c r="G108" s="127" t="s">
        <v>1643</v>
      </c>
      <c r="H108" s="187"/>
      <c r="I108" s="187"/>
      <c r="P108" t="str">
        <f t="shared" si="15"/>
        <v>COURTOMER18</v>
      </c>
      <c r="Q108" t="str">
        <f t="shared" si="10"/>
        <v>DELAMARRE</v>
      </c>
      <c r="R108" t="str">
        <f t="shared" si="11"/>
        <v>Marc</v>
      </c>
      <c r="S108">
        <f t="shared" si="12"/>
        <v>500</v>
      </c>
      <c r="T108">
        <f t="shared" si="13"/>
        <v>55363525</v>
      </c>
      <c r="U108" t="s">
        <v>177</v>
      </c>
    </row>
    <row r="109" spans="1:21" hidden="1" x14ac:dyDescent="0.2">
      <c r="A109" s="186" t="s">
        <v>132</v>
      </c>
      <c r="B109" s="128">
        <f t="shared" si="14"/>
        <v>19</v>
      </c>
      <c r="C109" s="128" t="s">
        <v>744</v>
      </c>
      <c r="D109" s="128" t="s">
        <v>705</v>
      </c>
      <c r="E109" s="127">
        <v>500</v>
      </c>
      <c r="F109" s="127">
        <v>97062118</v>
      </c>
      <c r="G109" s="127" t="s">
        <v>1856</v>
      </c>
      <c r="H109" s="187"/>
      <c r="I109" s="187"/>
      <c r="P109" t="str">
        <f t="shared" si="15"/>
        <v>COURTOMER19</v>
      </c>
      <c r="Q109" t="str">
        <f t="shared" si="10"/>
        <v>DROUHIN</v>
      </c>
      <c r="R109" t="str">
        <f t="shared" si="11"/>
        <v>Kylian</v>
      </c>
      <c r="S109">
        <f t="shared" si="12"/>
        <v>500</v>
      </c>
      <c r="T109">
        <f t="shared" si="13"/>
        <v>97062118</v>
      </c>
      <c r="U109" t="s">
        <v>776</v>
      </c>
    </row>
    <row r="110" spans="1:21" hidden="1" x14ac:dyDescent="0.2">
      <c r="A110" s="186" t="s">
        <v>132</v>
      </c>
      <c r="B110" s="128">
        <f t="shared" si="14"/>
        <v>20</v>
      </c>
      <c r="C110" s="128" t="s">
        <v>1158</v>
      </c>
      <c r="D110" s="128" t="s">
        <v>1285</v>
      </c>
      <c r="E110" s="127">
        <v>500</v>
      </c>
      <c r="F110" s="127">
        <v>87447016</v>
      </c>
      <c r="G110" s="127" t="s">
        <v>1856</v>
      </c>
      <c r="H110" s="187"/>
      <c r="I110" s="187"/>
      <c r="P110" t="str">
        <f t="shared" si="15"/>
        <v>COURTOMER20</v>
      </c>
      <c r="Q110" t="str">
        <f t="shared" si="10"/>
        <v>DUPLOUYS</v>
      </c>
      <c r="R110" t="str">
        <f t="shared" si="11"/>
        <v>Jean-Claude</v>
      </c>
      <c r="S110">
        <f t="shared" si="12"/>
        <v>500</v>
      </c>
      <c r="T110">
        <f t="shared" si="13"/>
        <v>87447016</v>
      </c>
      <c r="U110" t="s">
        <v>1512</v>
      </c>
    </row>
    <row r="111" spans="1:21" hidden="1" x14ac:dyDescent="0.2">
      <c r="A111" s="186" t="s">
        <v>132</v>
      </c>
      <c r="B111" s="128">
        <f t="shared" si="14"/>
        <v>21</v>
      </c>
      <c r="C111" s="128" t="s">
        <v>684</v>
      </c>
      <c r="D111" s="128" t="s">
        <v>284</v>
      </c>
      <c r="E111" s="127">
        <v>500</v>
      </c>
      <c r="F111" s="127">
        <v>97083507</v>
      </c>
      <c r="G111" s="127" t="s">
        <v>1856</v>
      </c>
      <c r="H111" s="187"/>
      <c r="I111" s="187"/>
      <c r="P111" t="str">
        <f t="shared" si="15"/>
        <v>COURTOMER21</v>
      </c>
      <c r="Q111" t="str">
        <f t="shared" si="10"/>
        <v>GARINET</v>
      </c>
      <c r="R111" t="str">
        <f t="shared" si="11"/>
        <v>Vincent</v>
      </c>
      <c r="S111">
        <f t="shared" si="12"/>
        <v>500</v>
      </c>
      <c r="T111">
        <f t="shared" si="13"/>
        <v>97083507</v>
      </c>
      <c r="U111" t="s">
        <v>695</v>
      </c>
    </row>
    <row r="112" spans="1:21" hidden="1" x14ac:dyDescent="0.2">
      <c r="A112" s="188" t="s">
        <v>132</v>
      </c>
      <c r="B112" s="128">
        <f t="shared" si="14"/>
        <v>22</v>
      </c>
      <c r="C112" s="128" t="s">
        <v>52</v>
      </c>
      <c r="D112" s="128" t="s">
        <v>329</v>
      </c>
      <c r="E112" s="127">
        <v>753</v>
      </c>
      <c r="F112" s="127">
        <v>55340866</v>
      </c>
      <c r="G112" s="127" t="s">
        <v>1643</v>
      </c>
      <c r="H112" s="187"/>
      <c r="I112" s="187"/>
      <c r="P112" t="str">
        <f t="shared" si="15"/>
        <v>COURTOMER22</v>
      </c>
      <c r="Q112" t="str">
        <f t="shared" si="10"/>
        <v>GUILLOTIN</v>
      </c>
      <c r="R112" t="str">
        <f t="shared" si="11"/>
        <v>Jean Philippe</v>
      </c>
      <c r="S112">
        <f t="shared" si="12"/>
        <v>753</v>
      </c>
      <c r="T112">
        <f t="shared" si="13"/>
        <v>55340866</v>
      </c>
      <c r="U112" t="s">
        <v>178</v>
      </c>
    </row>
    <row r="113" spans="1:21" hidden="1" x14ac:dyDescent="0.2">
      <c r="A113" s="186" t="s">
        <v>132</v>
      </c>
      <c r="B113" s="128">
        <f t="shared" si="14"/>
        <v>23</v>
      </c>
      <c r="C113" s="128" t="s">
        <v>1152</v>
      </c>
      <c r="D113" s="128" t="s">
        <v>296</v>
      </c>
      <c r="E113" s="127">
        <v>500</v>
      </c>
      <c r="F113" s="127">
        <v>97103346</v>
      </c>
      <c r="G113" s="127" t="s">
        <v>1856</v>
      </c>
      <c r="H113" s="187"/>
      <c r="I113" s="187"/>
      <c r="P113" t="str">
        <f t="shared" si="15"/>
        <v>COURTOMER23</v>
      </c>
      <c r="Q113" t="str">
        <f t="shared" si="10"/>
        <v>LANGE</v>
      </c>
      <c r="R113" t="str">
        <f t="shared" si="11"/>
        <v>Romain</v>
      </c>
      <c r="S113">
        <f t="shared" si="12"/>
        <v>500</v>
      </c>
      <c r="T113">
        <f t="shared" si="13"/>
        <v>97103346</v>
      </c>
      <c r="U113" t="s">
        <v>1369</v>
      </c>
    </row>
    <row r="114" spans="1:21" hidden="1" x14ac:dyDescent="0.2">
      <c r="A114" s="186" t="s">
        <v>132</v>
      </c>
      <c r="B114" s="128">
        <f t="shared" si="14"/>
        <v>24</v>
      </c>
      <c r="C114" s="128" t="s">
        <v>95</v>
      </c>
      <c r="D114" s="128" t="s">
        <v>297</v>
      </c>
      <c r="E114" s="127">
        <v>500</v>
      </c>
      <c r="F114" s="127">
        <v>97104726</v>
      </c>
      <c r="G114" s="127" t="s">
        <v>1856</v>
      </c>
      <c r="H114" s="187"/>
      <c r="I114" s="187"/>
      <c r="P114" t="str">
        <f t="shared" si="15"/>
        <v>COURTOMER24</v>
      </c>
      <c r="Q114" t="str">
        <f t="shared" si="10"/>
        <v>LEFEVRE</v>
      </c>
      <c r="R114" t="str">
        <f t="shared" si="11"/>
        <v>Nicolas</v>
      </c>
      <c r="S114">
        <f t="shared" si="12"/>
        <v>500</v>
      </c>
      <c r="T114">
        <f t="shared" si="13"/>
        <v>97104726</v>
      </c>
      <c r="U114" t="s">
        <v>1373</v>
      </c>
    </row>
    <row r="115" spans="1:21" hidden="1" x14ac:dyDescent="0.2">
      <c r="A115" s="186" t="s">
        <v>132</v>
      </c>
      <c r="B115" s="128">
        <f t="shared" si="14"/>
        <v>25</v>
      </c>
      <c r="C115" s="128" t="s">
        <v>685</v>
      </c>
      <c r="D115" s="128" t="s">
        <v>704</v>
      </c>
      <c r="E115" s="127">
        <v>500</v>
      </c>
      <c r="F115" s="127">
        <v>97083508</v>
      </c>
      <c r="G115" s="127" t="s">
        <v>1856</v>
      </c>
      <c r="H115" s="187"/>
      <c r="I115" s="187"/>
      <c r="P115" t="str">
        <f t="shared" si="15"/>
        <v>COURTOMER25</v>
      </c>
      <c r="Q115" t="str">
        <f t="shared" si="10"/>
        <v>LETUVE</v>
      </c>
      <c r="R115" t="str">
        <f t="shared" si="11"/>
        <v>Sandy</v>
      </c>
      <c r="S115">
        <f t="shared" si="12"/>
        <v>500</v>
      </c>
      <c r="T115">
        <f t="shared" si="13"/>
        <v>97083508</v>
      </c>
      <c r="U115" t="s">
        <v>696</v>
      </c>
    </row>
    <row r="116" spans="1:21" hidden="1" x14ac:dyDescent="0.2">
      <c r="A116" s="186" t="s">
        <v>132</v>
      </c>
      <c r="B116" s="128">
        <f t="shared" si="14"/>
        <v>26</v>
      </c>
      <c r="C116" s="128" t="s">
        <v>1863</v>
      </c>
      <c r="D116" s="128" t="s">
        <v>1864</v>
      </c>
      <c r="E116" s="127">
        <v>500</v>
      </c>
      <c r="F116" s="127">
        <v>87470819</v>
      </c>
      <c r="G116" s="127" t="s">
        <v>1643</v>
      </c>
      <c r="H116" s="187"/>
      <c r="I116" s="187"/>
      <c r="P116" t="str">
        <f t="shared" si="15"/>
        <v>COURTOMER26</v>
      </c>
      <c r="Q116" t="str">
        <f t="shared" si="10"/>
        <v>MADEIRA</v>
      </c>
      <c r="R116" t="str">
        <f t="shared" si="11"/>
        <v>Nelia</v>
      </c>
      <c r="S116">
        <f t="shared" si="12"/>
        <v>500</v>
      </c>
      <c r="T116">
        <f t="shared" si="13"/>
        <v>87470819</v>
      </c>
      <c r="U116" t="s">
        <v>1958</v>
      </c>
    </row>
    <row r="117" spans="1:21" hidden="1" x14ac:dyDescent="0.2">
      <c r="A117" s="186" t="s">
        <v>132</v>
      </c>
      <c r="B117" s="128">
        <f t="shared" si="14"/>
        <v>27</v>
      </c>
      <c r="C117" s="128" t="s">
        <v>1863</v>
      </c>
      <c r="D117" s="128" t="s">
        <v>1865</v>
      </c>
      <c r="E117" s="127">
        <v>500</v>
      </c>
      <c r="F117" s="127">
        <v>97062124</v>
      </c>
      <c r="G117" s="127" t="s">
        <v>1643</v>
      </c>
      <c r="H117" s="187"/>
      <c r="I117" s="187"/>
      <c r="P117" t="str">
        <f t="shared" si="15"/>
        <v>COURTOMER27</v>
      </c>
      <c r="Q117" t="str">
        <f t="shared" si="10"/>
        <v>MADEIRA</v>
      </c>
      <c r="R117" t="str">
        <f t="shared" si="11"/>
        <v>Timéo</v>
      </c>
      <c r="S117">
        <f t="shared" si="12"/>
        <v>500</v>
      </c>
      <c r="T117">
        <f t="shared" si="13"/>
        <v>97062124</v>
      </c>
      <c r="U117" t="s">
        <v>1959</v>
      </c>
    </row>
    <row r="118" spans="1:21" hidden="1" x14ac:dyDescent="0.2">
      <c r="A118" s="186" t="s">
        <v>132</v>
      </c>
      <c r="B118" s="128">
        <f t="shared" si="14"/>
        <v>28</v>
      </c>
      <c r="C118" s="128" t="s">
        <v>1157</v>
      </c>
      <c r="D118" s="128" t="s">
        <v>1284</v>
      </c>
      <c r="E118" s="127">
        <v>500</v>
      </c>
      <c r="F118" s="127">
        <v>87408524</v>
      </c>
      <c r="G118" s="127" t="s">
        <v>1856</v>
      </c>
      <c r="H118" s="187"/>
      <c r="I118" s="187"/>
      <c r="P118" t="str">
        <f t="shared" si="15"/>
        <v>COURTOMER28</v>
      </c>
      <c r="Q118" t="str">
        <f t="shared" si="10"/>
        <v>MILLET</v>
      </c>
      <c r="R118" t="str">
        <f t="shared" si="11"/>
        <v>Alex</v>
      </c>
      <c r="S118">
        <f t="shared" si="12"/>
        <v>500</v>
      </c>
      <c r="T118">
        <f t="shared" si="13"/>
        <v>87408524</v>
      </c>
      <c r="U118" t="s">
        <v>1376</v>
      </c>
    </row>
    <row r="119" spans="1:21" hidden="1" x14ac:dyDescent="0.2">
      <c r="A119" s="186" t="s">
        <v>132</v>
      </c>
      <c r="B119" s="128">
        <f t="shared" si="14"/>
        <v>29</v>
      </c>
      <c r="C119" s="128" t="s">
        <v>1155</v>
      </c>
      <c r="D119" s="128" t="s">
        <v>1281</v>
      </c>
      <c r="E119" s="127">
        <v>500</v>
      </c>
      <c r="F119" s="127">
        <v>97104727</v>
      </c>
      <c r="G119" s="127" t="s">
        <v>1856</v>
      </c>
      <c r="H119" s="187"/>
      <c r="I119" s="187"/>
      <c r="P119" t="str">
        <f t="shared" si="15"/>
        <v>COURTOMER29</v>
      </c>
      <c r="Q119" t="str">
        <f t="shared" si="10"/>
        <v>NICOLAS</v>
      </c>
      <c r="R119" t="str">
        <f t="shared" si="11"/>
        <v>Eva</v>
      </c>
      <c r="S119">
        <f t="shared" si="12"/>
        <v>500</v>
      </c>
      <c r="T119">
        <f t="shared" si="13"/>
        <v>97104727</v>
      </c>
      <c r="U119" t="s">
        <v>1372</v>
      </c>
    </row>
    <row r="120" spans="1:21" hidden="1" x14ac:dyDescent="0.2">
      <c r="A120" s="186" t="s">
        <v>132</v>
      </c>
      <c r="B120" s="128">
        <f t="shared" si="14"/>
        <v>30</v>
      </c>
      <c r="C120" s="128" t="s">
        <v>51</v>
      </c>
      <c r="D120" s="128" t="s">
        <v>500</v>
      </c>
      <c r="E120" s="127">
        <v>827</v>
      </c>
      <c r="F120" s="127">
        <v>55338535</v>
      </c>
      <c r="G120" s="127" t="s">
        <v>1643</v>
      </c>
      <c r="H120" s="187"/>
      <c r="I120" s="187"/>
      <c r="P120" t="str">
        <f t="shared" si="15"/>
        <v>COURTOMER30</v>
      </c>
      <c r="Q120" t="str">
        <f t="shared" si="10"/>
        <v>PAILLER</v>
      </c>
      <c r="R120" t="str">
        <f t="shared" si="11"/>
        <v>Hervé</v>
      </c>
      <c r="S120">
        <f t="shared" si="12"/>
        <v>827</v>
      </c>
      <c r="T120">
        <f t="shared" si="13"/>
        <v>55338535</v>
      </c>
      <c r="U120" t="s">
        <v>724</v>
      </c>
    </row>
    <row r="121" spans="1:21" hidden="1" x14ac:dyDescent="0.2">
      <c r="A121" s="186" t="s">
        <v>132</v>
      </c>
      <c r="B121" s="128">
        <f t="shared" si="14"/>
        <v>31</v>
      </c>
      <c r="C121" s="128" t="s">
        <v>51</v>
      </c>
      <c r="D121" s="128" t="s">
        <v>283</v>
      </c>
      <c r="E121" s="127">
        <v>570</v>
      </c>
      <c r="F121" s="127">
        <v>55338536</v>
      </c>
      <c r="G121" s="127" t="s">
        <v>1643</v>
      </c>
      <c r="H121" s="187"/>
      <c r="I121" s="187"/>
      <c r="P121" t="str">
        <f t="shared" si="15"/>
        <v>COURTOMER31</v>
      </c>
      <c r="Q121" t="str">
        <f t="shared" si="10"/>
        <v>PAILLER</v>
      </c>
      <c r="R121" t="str">
        <f t="shared" si="11"/>
        <v>Pierre</v>
      </c>
      <c r="S121">
        <f t="shared" si="12"/>
        <v>570</v>
      </c>
      <c r="T121">
        <f t="shared" si="13"/>
        <v>55338536</v>
      </c>
      <c r="U121" t="s">
        <v>179</v>
      </c>
    </row>
    <row r="122" spans="1:21" hidden="1" x14ac:dyDescent="0.2">
      <c r="A122" s="186" t="s">
        <v>132</v>
      </c>
      <c r="B122" s="128">
        <f t="shared" si="14"/>
        <v>32</v>
      </c>
      <c r="C122" s="128" t="s">
        <v>1156</v>
      </c>
      <c r="D122" s="128" t="s">
        <v>1283</v>
      </c>
      <c r="E122" s="127">
        <v>500</v>
      </c>
      <c r="F122" s="127">
        <v>97104728</v>
      </c>
      <c r="G122" s="127" t="s">
        <v>1856</v>
      </c>
      <c r="H122" s="187"/>
      <c r="I122" s="187"/>
      <c r="P122" t="str">
        <f t="shared" si="15"/>
        <v>COURTOMER32</v>
      </c>
      <c r="Q122" t="str">
        <f t="shared" si="10"/>
        <v>PEPIN</v>
      </c>
      <c r="R122" t="str">
        <f t="shared" si="11"/>
        <v>Anna</v>
      </c>
      <c r="S122">
        <f t="shared" si="12"/>
        <v>500</v>
      </c>
      <c r="T122">
        <f t="shared" si="13"/>
        <v>97104728</v>
      </c>
      <c r="U122" t="s">
        <v>1375</v>
      </c>
    </row>
    <row r="123" spans="1:21" hidden="1" x14ac:dyDescent="0.2">
      <c r="A123" s="186" t="s">
        <v>132</v>
      </c>
      <c r="B123" s="128">
        <f t="shared" si="14"/>
        <v>33</v>
      </c>
      <c r="C123" s="128" t="s">
        <v>1156</v>
      </c>
      <c r="D123" s="128" t="s">
        <v>1282</v>
      </c>
      <c r="E123" s="127">
        <v>500</v>
      </c>
      <c r="F123" s="127">
        <v>97104729</v>
      </c>
      <c r="G123" s="127" t="s">
        <v>1856</v>
      </c>
      <c r="H123" s="187"/>
      <c r="I123" s="187"/>
      <c r="P123" t="str">
        <f t="shared" si="15"/>
        <v>COURTOMER33</v>
      </c>
      <c r="Q123" t="str">
        <f t="shared" si="10"/>
        <v>PEPIN</v>
      </c>
      <c r="R123" t="str">
        <f t="shared" si="11"/>
        <v>Liza</v>
      </c>
      <c r="S123">
        <f t="shared" si="12"/>
        <v>500</v>
      </c>
      <c r="T123">
        <f t="shared" si="13"/>
        <v>97104729</v>
      </c>
      <c r="U123" t="s">
        <v>1374</v>
      </c>
    </row>
    <row r="124" spans="1:21" hidden="1" x14ac:dyDescent="0.2">
      <c r="A124" s="186" t="s">
        <v>132</v>
      </c>
      <c r="B124" s="128">
        <f t="shared" si="14"/>
        <v>34</v>
      </c>
      <c r="C124" s="128" t="s">
        <v>588</v>
      </c>
      <c r="D124" s="128" t="s">
        <v>703</v>
      </c>
      <c r="E124" s="127">
        <v>500</v>
      </c>
      <c r="F124" s="127">
        <v>87428921</v>
      </c>
      <c r="G124" s="127" t="s">
        <v>1643</v>
      </c>
      <c r="H124" s="187"/>
      <c r="I124" s="187"/>
      <c r="P124" t="str">
        <f t="shared" si="15"/>
        <v>COURTOMER34</v>
      </c>
      <c r="Q124" t="str">
        <f t="shared" si="10"/>
        <v>PEYRIND</v>
      </c>
      <c r="R124" t="str">
        <f t="shared" si="11"/>
        <v>Clara</v>
      </c>
      <c r="S124">
        <f t="shared" si="12"/>
        <v>500</v>
      </c>
      <c r="T124">
        <f t="shared" si="13"/>
        <v>87428921</v>
      </c>
      <c r="U124" t="s">
        <v>694</v>
      </c>
    </row>
    <row r="125" spans="1:21" hidden="1" x14ac:dyDescent="0.2">
      <c r="A125" s="186" t="s">
        <v>132</v>
      </c>
      <c r="B125" s="128">
        <f t="shared" si="14"/>
        <v>35</v>
      </c>
      <c r="C125" s="128" t="s">
        <v>588</v>
      </c>
      <c r="D125" s="128" t="s">
        <v>352</v>
      </c>
      <c r="E125" s="127">
        <v>500</v>
      </c>
      <c r="F125" s="127">
        <v>87459697</v>
      </c>
      <c r="G125" s="127" t="s">
        <v>1643</v>
      </c>
      <c r="H125" s="187"/>
      <c r="I125" s="187"/>
      <c r="P125" t="str">
        <f t="shared" si="15"/>
        <v>COURTOMER35</v>
      </c>
      <c r="Q125" t="str">
        <f t="shared" si="10"/>
        <v>PEYRIND</v>
      </c>
      <c r="R125" t="str">
        <f t="shared" si="11"/>
        <v>Jade</v>
      </c>
      <c r="S125">
        <f t="shared" si="12"/>
        <v>500</v>
      </c>
      <c r="T125">
        <f t="shared" si="13"/>
        <v>87459697</v>
      </c>
      <c r="U125" t="s">
        <v>1647</v>
      </c>
    </row>
    <row r="126" spans="1:21" hidden="1" x14ac:dyDescent="0.2">
      <c r="A126" s="186" t="s">
        <v>132</v>
      </c>
      <c r="B126" s="128">
        <f t="shared" si="14"/>
        <v>36</v>
      </c>
      <c r="C126" s="128" t="s">
        <v>588</v>
      </c>
      <c r="D126" s="128" t="s">
        <v>448</v>
      </c>
      <c r="E126" s="127">
        <v>500</v>
      </c>
      <c r="F126" s="127">
        <v>97075944</v>
      </c>
      <c r="G126" s="127" t="s">
        <v>1643</v>
      </c>
      <c r="H126" s="187"/>
      <c r="I126" s="187"/>
      <c r="P126" t="str">
        <f t="shared" si="15"/>
        <v>COURTOMER36</v>
      </c>
      <c r="Q126" t="str">
        <f t="shared" si="10"/>
        <v>PEYRIND</v>
      </c>
      <c r="R126" t="str">
        <f t="shared" si="11"/>
        <v>Stéphane</v>
      </c>
      <c r="S126">
        <f t="shared" si="12"/>
        <v>500</v>
      </c>
      <c r="T126">
        <f t="shared" si="13"/>
        <v>97075944</v>
      </c>
      <c r="U126" t="s">
        <v>589</v>
      </c>
    </row>
    <row r="127" spans="1:21" hidden="1" x14ac:dyDescent="0.2">
      <c r="A127" s="186" t="s">
        <v>132</v>
      </c>
      <c r="B127" s="128">
        <f t="shared" si="14"/>
        <v>37</v>
      </c>
      <c r="C127" s="128" t="s">
        <v>1151</v>
      </c>
      <c r="D127" s="128" t="s">
        <v>1278</v>
      </c>
      <c r="E127" s="127">
        <v>500</v>
      </c>
      <c r="F127" s="127">
        <v>97103349</v>
      </c>
      <c r="G127" s="127" t="s">
        <v>1856</v>
      </c>
      <c r="H127" s="187"/>
      <c r="I127" s="187"/>
      <c r="P127" t="str">
        <f t="shared" si="15"/>
        <v>COURTOMER37</v>
      </c>
      <c r="Q127" t="str">
        <f t="shared" si="10"/>
        <v>PIERRE JULIEN</v>
      </c>
      <c r="R127" t="str">
        <f t="shared" si="11"/>
        <v>Delancre</v>
      </c>
      <c r="S127">
        <f t="shared" si="12"/>
        <v>500</v>
      </c>
      <c r="T127">
        <f t="shared" si="13"/>
        <v>97103349</v>
      </c>
      <c r="U127" t="s">
        <v>1368</v>
      </c>
    </row>
    <row r="128" spans="1:21" hidden="1" x14ac:dyDescent="0.2">
      <c r="A128" s="186" t="s">
        <v>132</v>
      </c>
      <c r="B128" s="128">
        <f t="shared" si="14"/>
        <v>38</v>
      </c>
      <c r="C128" s="128" t="s">
        <v>1626</v>
      </c>
      <c r="D128" s="128" t="s">
        <v>317</v>
      </c>
      <c r="E128" s="127">
        <v>570</v>
      </c>
      <c r="F128" s="127">
        <v>55333841</v>
      </c>
      <c r="G128" s="127" t="s">
        <v>1643</v>
      </c>
      <c r="H128" s="187"/>
      <c r="I128" s="187"/>
      <c r="P128" t="str">
        <f t="shared" si="15"/>
        <v>COURTOMER38</v>
      </c>
      <c r="Q128" t="str">
        <f t="shared" si="10"/>
        <v>PORTAIS</v>
      </c>
      <c r="R128" t="str">
        <f t="shared" si="11"/>
        <v>Thomas</v>
      </c>
      <c r="S128">
        <f t="shared" si="12"/>
        <v>570</v>
      </c>
      <c r="T128">
        <f t="shared" si="13"/>
        <v>55333841</v>
      </c>
      <c r="U128" t="s">
        <v>1646</v>
      </c>
    </row>
    <row r="129" spans="1:21" hidden="1" x14ac:dyDescent="0.2">
      <c r="A129" s="186" t="s">
        <v>132</v>
      </c>
      <c r="B129" s="128">
        <f t="shared" si="14"/>
        <v>39</v>
      </c>
      <c r="C129" s="128" t="s">
        <v>1866</v>
      </c>
      <c r="D129" s="128" t="s">
        <v>1867</v>
      </c>
      <c r="E129" s="127">
        <v>500</v>
      </c>
      <c r="F129" s="127">
        <v>97109937</v>
      </c>
      <c r="G129" s="127" t="s">
        <v>1643</v>
      </c>
      <c r="H129" s="187"/>
      <c r="I129" s="187"/>
      <c r="P129" t="str">
        <f t="shared" si="15"/>
        <v>COURTOMER39</v>
      </c>
      <c r="Q129" t="str">
        <f t="shared" si="10"/>
        <v>SOULIS</v>
      </c>
      <c r="R129" t="str">
        <f t="shared" si="11"/>
        <v>Anaïs</v>
      </c>
      <c r="S129">
        <f t="shared" si="12"/>
        <v>500</v>
      </c>
      <c r="T129">
        <f t="shared" si="13"/>
        <v>97109937</v>
      </c>
      <c r="U129" t="s">
        <v>1960</v>
      </c>
    </row>
    <row r="130" spans="1:21" hidden="1" x14ac:dyDescent="0.2">
      <c r="A130" s="186" t="s">
        <v>132</v>
      </c>
      <c r="B130" s="128">
        <f t="shared" si="14"/>
        <v>40</v>
      </c>
      <c r="C130" s="128" t="s">
        <v>1866</v>
      </c>
      <c r="D130" s="128" t="s">
        <v>1868</v>
      </c>
      <c r="E130" s="127">
        <v>500</v>
      </c>
      <c r="F130" s="127">
        <v>97109938</v>
      </c>
      <c r="G130" s="127" t="s">
        <v>1643</v>
      </c>
      <c r="H130" s="187"/>
      <c r="I130" s="187"/>
      <c r="P130" t="str">
        <f t="shared" si="15"/>
        <v>COURTOMER40</v>
      </c>
      <c r="Q130" t="str">
        <f t="shared" si="10"/>
        <v>SOULIS</v>
      </c>
      <c r="R130" t="str">
        <f t="shared" si="11"/>
        <v>Pierre-Marie</v>
      </c>
      <c r="S130">
        <f t="shared" si="12"/>
        <v>500</v>
      </c>
      <c r="T130">
        <f t="shared" si="13"/>
        <v>97109938</v>
      </c>
      <c r="U130" t="s">
        <v>1961</v>
      </c>
    </row>
    <row r="131" spans="1:21" hidden="1" x14ac:dyDescent="0.2">
      <c r="A131" s="186" t="s">
        <v>133</v>
      </c>
      <c r="B131" s="128">
        <f>IF(A131=A128,B128+1,1)</f>
        <v>1</v>
      </c>
      <c r="C131" s="128" t="s">
        <v>653</v>
      </c>
      <c r="D131" s="128" t="s">
        <v>658</v>
      </c>
      <c r="E131" s="127">
        <v>572</v>
      </c>
      <c r="F131" s="127">
        <v>51214695</v>
      </c>
      <c r="G131" s="127" t="s">
        <v>1643</v>
      </c>
      <c r="H131" s="187"/>
      <c r="I131" s="187"/>
      <c r="P131" t="str">
        <f t="shared" ref="P131:P162" si="16">A131&amp;B131</f>
        <v>FAVIERES1</v>
      </c>
      <c r="Q131" t="str">
        <f t="shared" ref="Q131:Q194" si="17">C131</f>
        <v>FORTIN</v>
      </c>
      <c r="R131" t="str">
        <f t="shared" ref="R131:R194" si="18">D131</f>
        <v>Cédric</v>
      </c>
      <c r="S131">
        <f t="shared" ref="S131:S194" si="19">E131</f>
        <v>572</v>
      </c>
      <c r="T131">
        <f t="shared" ref="T131:T194" si="20">F131</f>
        <v>51214695</v>
      </c>
      <c r="U131" t="s">
        <v>665</v>
      </c>
    </row>
    <row r="132" spans="1:21" hidden="1" x14ac:dyDescent="0.2">
      <c r="A132" s="186" t="s">
        <v>133</v>
      </c>
      <c r="B132" s="128">
        <f t="shared" ref="B132:B163" si="21">IF(A132=A131,B131+1,1)</f>
        <v>2</v>
      </c>
      <c r="C132" s="128" t="s">
        <v>654</v>
      </c>
      <c r="D132" s="128" t="s">
        <v>659</v>
      </c>
      <c r="E132" s="127">
        <v>1046</v>
      </c>
      <c r="F132" s="127">
        <v>55329240</v>
      </c>
      <c r="G132" s="127" t="s">
        <v>1643</v>
      </c>
      <c r="H132" s="187"/>
      <c r="I132" s="187"/>
      <c r="P132" t="str">
        <f t="shared" si="16"/>
        <v>FAVIERES2</v>
      </c>
      <c r="Q132" t="str">
        <f t="shared" si="17"/>
        <v>IMBERT</v>
      </c>
      <c r="R132" t="str">
        <f t="shared" si="18"/>
        <v>Emeric</v>
      </c>
      <c r="S132">
        <f t="shared" si="19"/>
        <v>1046</v>
      </c>
      <c r="T132">
        <f t="shared" si="20"/>
        <v>55329240</v>
      </c>
      <c r="U132" t="s">
        <v>666</v>
      </c>
    </row>
    <row r="133" spans="1:21" hidden="1" x14ac:dyDescent="0.2">
      <c r="A133" s="186" t="s">
        <v>133</v>
      </c>
      <c r="B133" s="128">
        <f t="shared" si="21"/>
        <v>3</v>
      </c>
      <c r="C133" s="128" t="s">
        <v>1074</v>
      </c>
      <c r="D133" s="128" t="s">
        <v>1093</v>
      </c>
      <c r="E133" s="127">
        <v>1077</v>
      </c>
      <c r="F133" s="127">
        <v>97101825</v>
      </c>
      <c r="G133" s="127" t="s">
        <v>1643</v>
      </c>
      <c r="H133" s="187"/>
      <c r="I133" s="187"/>
      <c r="P133" t="str">
        <f t="shared" si="16"/>
        <v>FAVIERES3</v>
      </c>
      <c r="Q133" t="str">
        <f t="shared" si="17"/>
        <v>LLOPIS</v>
      </c>
      <c r="R133" t="str">
        <f t="shared" si="18"/>
        <v>Rudolph</v>
      </c>
      <c r="S133">
        <f t="shared" si="19"/>
        <v>1077</v>
      </c>
      <c r="T133">
        <f t="shared" si="20"/>
        <v>97101825</v>
      </c>
      <c r="U133" t="s">
        <v>1116</v>
      </c>
    </row>
    <row r="134" spans="1:21" hidden="1" x14ac:dyDescent="0.2">
      <c r="A134" s="186" t="s">
        <v>133</v>
      </c>
      <c r="B134" s="128">
        <f t="shared" si="21"/>
        <v>4</v>
      </c>
      <c r="C134" s="128" t="s">
        <v>686</v>
      </c>
      <c r="D134" s="128" t="s">
        <v>289</v>
      </c>
      <c r="E134" s="127">
        <v>734</v>
      </c>
      <c r="F134" s="127">
        <v>97083186</v>
      </c>
      <c r="G134" s="127" t="s">
        <v>1643</v>
      </c>
      <c r="H134" s="187"/>
      <c r="I134" s="187"/>
      <c r="P134" t="str">
        <f t="shared" si="16"/>
        <v>FAVIERES4</v>
      </c>
      <c r="Q134" t="str">
        <f t="shared" si="17"/>
        <v>MARC</v>
      </c>
      <c r="R134" t="str">
        <f t="shared" si="18"/>
        <v>Laurent</v>
      </c>
      <c r="S134">
        <f t="shared" si="19"/>
        <v>734</v>
      </c>
      <c r="T134">
        <f t="shared" si="20"/>
        <v>97083186</v>
      </c>
      <c r="U134" t="s">
        <v>697</v>
      </c>
    </row>
    <row r="135" spans="1:21" hidden="1" x14ac:dyDescent="0.2">
      <c r="A135" s="186" t="s">
        <v>133</v>
      </c>
      <c r="B135" s="128">
        <f t="shared" si="21"/>
        <v>5</v>
      </c>
      <c r="C135" s="128" t="s">
        <v>1072</v>
      </c>
      <c r="D135" s="128" t="s">
        <v>500</v>
      </c>
      <c r="E135" s="127">
        <v>500</v>
      </c>
      <c r="F135" s="127">
        <v>97101826</v>
      </c>
      <c r="G135" s="127" t="s">
        <v>1856</v>
      </c>
      <c r="H135" s="187"/>
      <c r="I135" s="187"/>
      <c r="P135" t="str">
        <f t="shared" si="16"/>
        <v>FAVIERES5</v>
      </c>
      <c r="Q135" t="str">
        <f t="shared" si="17"/>
        <v>MOGENOT</v>
      </c>
      <c r="R135" t="str">
        <f t="shared" si="18"/>
        <v>Hervé</v>
      </c>
      <c r="S135">
        <f t="shared" si="19"/>
        <v>500</v>
      </c>
      <c r="T135">
        <f t="shared" si="20"/>
        <v>97101826</v>
      </c>
      <c r="U135" t="s">
        <v>1114</v>
      </c>
    </row>
    <row r="136" spans="1:21" hidden="1" x14ac:dyDescent="0.2">
      <c r="A136" s="186" t="s">
        <v>133</v>
      </c>
      <c r="B136" s="128">
        <f t="shared" si="21"/>
        <v>6</v>
      </c>
      <c r="C136" s="128" t="s">
        <v>1072</v>
      </c>
      <c r="D136" s="128" t="s">
        <v>297</v>
      </c>
      <c r="E136" s="127">
        <v>500</v>
      </c>
      <c r="F136" s="127">
        <v>97101827</v>
      </c>
      <c r="G136" s="127" t="s">
        <v>1856</v>
      </c>
      <c r="H136" s="187"/>
      <c r="I136" s="187"/>
      <c r="P136" t="str">
        <f t="shared" si="16"/>
        <v>FAVIERES6</v>
      </c>
      <c r="Q136" t="str">
        <f t="shared" si="17"/>
        <v>MOGENOT</v>
      </c>
      <c r="R136" t="str">
        <f t="shared" si="18"/>
        <v>Nicolas</v>
      </c>
      <c r="S136">
        <f t="shared" si="19"/>
        <v>500</v>
      </c>
      <c r="T136">
        <f t="shared" si="20"/>
        <v>97101827</v>
      </c>
      <c r="U136" t="s">
        <v>1115</v>
      </c>
    </row>
    <row r="137" spans="1:21" hidden="1" x14ac:dyDescent="0.2">
      <c r="A137" s="190" t="s">
        <v>133</v>
      </c>
      <c r="B137" s="128">
        <f t="shared" si="21"/>
        <v>7</v>
      </c>
      <c r="C137" s="175" t="s">
        <v>1161</v>
      </c>
      <c r="D137" s="175" t="s">
        <v>310</v>
      </c>
      <c r="E137" s="127">
        <v>603</v>
      </c>
      <c r="F137" s="176">
        <v>97102239</v>
      </c>
      <c r="G137" s="127" t="s">
        <v>1643</v>
      </c>
      <c r="H137" s="187"/>
      <c r="I137" s="187"/>
      <c r="P137" t="str">
        <f t="shared" si="16"/>
        <v>FAVIERES7</v>
      </c>
      <c r="Q137" t="str">
        <f t="shared" si="17"/>
        <v>PELGAS</v>
      </c>
      <c r="R137" t="str">
        <f t="shared" si="18"/>
        <v>Alain</v>
      </c>
      <c r="S137">
        <f t="shared" si="19"/>
        <v>603</v>
      </c>
      <c r="T137">
        <f t="shared" si="20"/>
        <v>97102239</v>
      </c>
      <c r="U137" t="s">
        <v>1379</v>
      </c>
    </row>
    <row r="138" spans="1:21" hidden="1" x14ac:dyDescent="0.2">
      <c r="A138" s="186" t="s">
        <v>133</v>
      </c>
      <c r="B138" s="128">
        <f t="shared" si="21"/>
        <v>8</v>
      </c>
      <c r="C138" s="128" t="s">
        <v>923</v>
      </c>
      <c r="D138" s="128" t="s">
        <v>301</v>
      </c>
      <c r="E138" s="127">
        <v>781</v>
      </c>
      <c r="F138" s="127">
        <v>97094420</v>
      </c>
      <c r="G138" s="127" t="s">
        <v>1643</v>
      </c>
      <c r="H138" s="187"/>
      <c r="I138" s="187"/>
      <c r="P138" t="str">
        <f t="shared" si="16"/>
        <v>FAVIERES8</v>
      </c>
      <c r="Q138" t="str">
        <f t="shared" si="17"/>
        <v>SIDI</v>
      </c>
      <c r="R138" t="str">
        <f t="shared" si="18"/>
        <v>David</v>
      </c>
      <c r="S138">
        <f t="shared" si="19"/>
        <v>781</v>
      </c>
      <c r="T138">
        <f t="shared" si="20"/>
        <v>97094420</v>
      </c>
      <c r="U138" t="s">
        <v>953</v>
      </c>
    </row>
    <row r="139" spans="1:21" hidden="1" x14ac:dyDescent="0.2">
      <c r="A139" s="186" t="s">
        <v>133</v>
      </c>
      <c r="B139" s="128">
        <f t="shared" si="21"/>
        <v>9</v>
      </c>
      <c r="C139" s="128" t="s">
        <v>57</v>
      </c>
      <c r="D139" s="128" t="s">
        <v>333</v>
      </c>
      <c r="E139" s="127">
        <v>1194</v>
      </c>
      <c r="F139" s="127">
        <v>55359846</v>
      </c>
      <c r="G139" s="127" t="s">
        <v>1643</v>
      </c>
      <c r="H139" s="187"/>
      <c r="I139" s="187"/>
      <c r="P139" t="str">
        <f t="shared" si="16"/>
        <v>FAVIERES9</v>
      </c>
      <c r="Q139" t="str">
        <f t="shared" si="17"/>
        <v>STOSSE</v>
      </c>
      <c r="R139" t="str">
        <f t="shared" si="18"/>
        <v>Benjamin</v>
      </c>
      <c r="S139">
        <f t="shared" si="19"/>
        <v>1194</v>
      </c>
      <c r="T139">
        <f t="shared" si="20"/>
        <v>55359846</v>
      </c>
      <c r="U139" t="s">
        <v>180</v>
      </c>
    </row>
    <row r="140" spans="1:21" hidden="1" x14ac:dyDescent="0.2">
      <c r="A140" s="186" t="s">
        <v>133</v>
      </c>
      <c r="B140" s="128">
        <f t="shared" si="21"/>
        <v>10</v>
      </c>
      <c r="C140" s="128" t="s">
        <v>57</v>
      </c>
      <c r="D140" s="128" t="s">
        <v>285</v>
      </c>
      <c r="E140" s="127">
        <v>500</v>
      </c>
      <c r="F140" s="127">
        <v>97101745</v>
      </c>
      <c r="G140" s="127" t="s">
        <v>1643</v>
      </c>
      <c r="H140" s="187"/>
      <c r="I140" s="187"/>
      <c r="P140" t="str">
        <f t="shared" si="16"/>
        <v>FAVIERES10</v>
      </c>
      <c r="Q140" t="str">
        <f t="shared" si="17"/>
        <v>STOSSE</v>
      </c>
      <c r="R140" t="str">
        <f t="shared" si="18"/>
        <v>Eric</v>
      </c>
      <c r="S140">
        <f t="shared" si="19"/>
        <v>500</v>
      </c>
      <c r="T140">
        <f t="shared" si="20"/>
        <v>97101745</v>
      </c>
      <c r="U140" t="s">
        <v>1117</v>
      </c>
    </row>
    <row r="141" spans="1:21" hidden="1" x14ac:dyDescent="0.2">
      <c r="A141" s="186" t="s">
        <v>133</v>
      </c>
      <c r="B141" s="128">
        <f t="shared" si="21"/>
        <v>11</v>
      </c>
      <c r="C141" s="128" t="s">
        <v>56</v>
      </c>
      <c r="D141" s="128" t="s">
        <v>312</v>
      </c>
      <c r="E141" s="127">
        <v>808</v>
      </c>
      <c r="F141" s="127">
        <v>45016482</v>
      </c>
      <c r="G141" s="127" t="s">
        <v>1643</v>
      </c>
      <c r="H141" s="187"/>
      <c r="I141" s="187"/>
      <c r="P141" t="str">
        <f t="shared" si="16"/>
        <v>FAVIERES11</v>
      </c>
      <c r="Q141" t="str">
        <f t="shared" si="17"/>
        <v>TISSIEVY</v>
      </c>
      <c r="R141" t="str">
        <f t="shared" si="18"/>
        <v>Patrice</v>
      </c>
      <c r="S141">
        <f t="shared" si="19"/>
        <v>808</v>
      </c>
      <c r="T141">
        <f t="shared" si="20"/>
        <v>45016482</v>
      </c>
      <c r="U141" t="s">
        <v>181</v>
      </c>
    </row>
    <row r="142" spans="1:21" hidden="1" x14ac:dyDescent="0.2">
      <c r="A142" s="186" t="s">
        <v>133</v>
      </c>
      <c r="B142" s="128">
        <f t="shared" si="21"/>
        <v>12</v>
      </c>
      <c r="C142" s="128" t="s">
        <v>56</v>
      </c>
      <c r="D142" s="128" t="s">
        <v>328</v>
      </c>
      <c r="E142" s="127">
        <v>922</v>
      </c>
      <c r="F142" s="127">
        <v>45016483</v>
      </c>
      <c r="G142" s="127" t="s">
        <v>1643</v>
      </c>
      <c r="H142" s="187"/>
      <c r="I142" s="187"/>
      <c r="P142" t="str">
        <f t="shared" si="16"/>
        <v>FAVIERES12</v>
      </c>
      <c r="Q142" t="str">
        <f t="shared" si="17"/>
        <v>TISSIEVY</v>
      </c>
      <c r="R142" t="str">
        <f t="shared" si="18"/>
        <v>Xavier</v>
      </c>
      <c r="S142">
        <f t="shared" si="19"/>
        <v>922</v>
      </c>
      <c r="T142">
        <f t="shared" si="20"/>
        <v>45016483</v>
      </c>
      <c r="U142" t="s">
        <v>182</v>
      </c>
    </row>
    <row r="143" spans="1:21" hidden="1" x14ac:dyDescent="0.2">
      <c r="A143" s="186" t="s">
        <v>133</v>
      </c>
      <c r="B143" s="128">
        <f t="shared" si="21"/>
        <v>13</v>
      </c>
      <c r="C143" s="128" t="s">
        <v>1073</v>
      </c>
      <c r="D143" s="128" t="s">
        <v>284</v>
      </c>
      <c r="E143" s="127">
        <v>506</v>
      </c>
      <c r="F143" s="127">
        <v>97101828</v>
      </c>
      <c r="G143" s="127" t="s">
        <v>1643</v>
      </c>
      <c r="H143" s="187"/>
      <c r="I143" s="187"/>
      <c r="P143" t="str">
        <f t="shared" si="16"/>
        <v>FAVIERES13</v>
      </c>
      <c r="Q143" t="str">
        <f t="shared" si="17"/>
        <v>VIÉ</v>
      </c>
      <c r="R143" t="str">
        <f t="shared" si="18"/>
        <v>Vincent</v>
      </c>
      <c r="S143">
        <f t="shared" si="19"/>
        <v>506</v>
      </c>
      <c r="T143">
        <f t="shared" si="20"/>
        <v>97101828</v>
      </c>
      <c r="U143" t="s">
        <v>1132</v>
      </c>
    </row>
    <row r="144" spans="1:21" hidden="1" x14ac:dyDescent="0.2">
      <c r="A144" s="186" t="s">
        <v>144</v>
      </c>
      <c r="B144" s="128">
        <f t="shared" si="21"/>
        <v>1</v>
      </c>
      <c r="C144" s="128" t="s">
        <v>59</v>
      </c>
      <c r="D144" s="128" t="s">
        <v>334</v>
      </c>
      <c r="E144" s="127">
        <v>858</v>
      </c>
      <c r="F144" s="127">
        <v>3550024</v>
      </c>
      <c r="G144" s="127" t="s">
        <v>1856</v>
      </c>
      <c r="H144" s="187"/>
      <c r="I144" s="187"/>
      <c r="P144" t="str">
        <f t="shared" si="16"/>
        <v>FERRIERES1</v>
      </c>
      <c r="Q144" t="str">
        <f t="shared" si="17"/>
        <v>BERMUDEZ</v>
      </c>
      <c r="R144" t="str">
        <f t="shared" si="18"/>
        <v>Jose</v>
      </c>
      <c r="S144">
        <f t="shared" si="19"/>
        <v>858</v>
      </c>
      <c r="T144">
        <f t="shared" si="20"/>
        <v>3550024</v>
      </c>
      <c r="U144" t="s">
        <v>183</v>
      </c>
    </row>
    <row r="145" spans="1:21" hidden="1" x14ac:dyDescent="0.2">
      <c r="A145" s="186" t="s">
        <v>144</v>
      </c>
      <c r="B145" s="128">
        <f t="shared" si="21"/>
        <v>2</v>
      </c>
      <c r="C145" s="128" t="s">
        <v>63</v>
      </c>
      <c r="D145" s="128" t="s">
        <v>332</v>
      </c>
      <c r="E145" s="127">
        <v>819</v>
      </c>
      <c r="F145" s="127">
        <v>55365744</v>
      </c>
      <c r="G145" s="127" t="s">
        <v>1643</v>
      </c>
      <c r="H145" s="187"/>
      <c r="I145" s="187"/>
      <c r="P145" t="str">
        <f t="shared" si="16"/>
        <v>FERRIERES2</v>
      </c>
      <c r="Q145" t="str">
        <f t="shared" si="17"/>
        <v>BORIES</v>
      </c>
      <c r="R145" t="str">
        <f t="shared" si="18"/>
        <v>Regis</v>
      </c>
      <c r="S145">
        <f t="shared" si="19"/>
        <v>819</v>
      </c>
      <c r="T145">
        <f t="shared" si="20"/>
        <v>55365744</v>
      </c>
      <c r="U145" t="s">
        <v>184</v>
      </c>
    </row>
    <row r="146" spans="1:21" hidden="1" x14ac:dyDescent="0.2">
      <c r="A146" s="186" t="s">
        <v>144</v>
      </c>
      <c r="B146" s="128">
        <f t="shared" si="21"/>
        <v>3</v>
      </c>
      <c r="C146" s="128" t="s">
        <v>58</v>
      </c>
      <c r="D146" s="128" t="s">
        <v>292</v>
      </c>
      <c r="E146" s="127">
        <v>798</v>
      </c>
      <c r="F146" s="127">
        <v>41155431</v>
      </c>
      <c r="G146" s="127" t="s">
        <v>1643</v>
      </c>
      <c r="H146" s="187"/>
      <c r="I146" s="187"/>
      <c r="P146" t="str">
        <f t="shared" si="16"/>
        <v>FERRIERES3</v>
      </c>
      <c r="Q146" t="str">
        <f t="shared" si="17"/>
        <v>BRUANDET</v>
      </c>
      <c r="R146" t="str">
        <f t="shared" si="18"/>
        <v>Philippe</v>
      </c>
      <c r="S146">
        <f t="shared" si="19"/>
        <v>798</v>
      </c>
      <c r="T146">
        <f t="shared" si="20"/>
        <v>41155431</v>
      </c>
      <c r="U146" t="s">
        <v>185</v>
      </c>
    </row>
    <row r="147" spans="1:21" hidden="1" x14ac:dyDescent="0.2">
      <c r="A147" s="186" t="s">
        <v>144</v>
      </c>
      <c r="B147" s="128">
        <f t="shared" si="21"/>
        <v>4</v>
      </c>
      <c r="C147" s="128" t="s">
        <v>67</v>
      </c>
      <c r="D147" s="128" t="s">
        <v>304</v>
      </c>
      <c r="E147" s="127">
        <v>1439</v>
      </c>
      <c r="F147" s="127">
        <v>87463437</v>
      </c>
      <c r="G147" s="127" t="s">
        <v>1643</v>
      </c>
      <c r="H147" s="187"/>
      <c r="I147" s="187"/>
      <c r="P147" t="str">
        <f t="shared" si="16"/>
        <v>FERRIERES4</v>
      </c>
      <c r="Q147" t="str">
        <f t="shared" si="17"/>
        <v>CORGNAC</v>
      </c>
      <c r="R147" t="str">
        <f t="shared" si="18"/>
        <v>Jerome</v>
      </c>
      <c r="S147">
        <f t="shared" si="19"/>
        <v>1439</v>
      </c>
      <c r="T147">
        <f t="shared" si="20"/>
        <v>87463437</v>
      </c>
      <c r="U147" t="s">
        <v>186</v>
      </c>
    </row>
    <row r="148" spans="1:21" hidden="1" x14ac:dyDescent="0.2">
      <c r="A148" s="186" t="s">
        <v>144</v>
      </c>
      <c r="B148" s="128">
        <f t="shared" si="21"/>
        <v>5</v>
      </c>
      <c r="C148" s="128" t="s">
        <v>69</v>
      </c>
      <c r="D148" s="128" t="s">
        <v>293</v>
      </c>
      <c r="E148" s="127">
        <v>1566</v>
      </c>
      <c r="F148" s="127">
        <v>87412236</v>
      </c>
      <c r="G148" s="127" t="s">
        <v>1643</v>
      </c>
      <c r="H148" s="187"/>
      <c r="I148" s="187"/>
      <c r="P148" t="str">
        <f t="shared" si="16"/>
        <v>FERRIERES5</v>
      </c>
      <c r="Q148" t="str">
        <f t="shared" si="17"/>
        <v>COZ</v>
      </c>
      <c r="R148" t="str">
        <f t="shared" si="18"/>
        <v>Christophe</v>
      </c>
      <c r="S148">
        <f t="shared" si="19"/>
        <v>1566</v>
      </c>
      <c r="T148">
        <f t="shared" si="20"/>
        <v>87412236</v>
      </c>
      <c r="U148" t="s">
        <v>187</v>
      </c>
    </row>
    <row r="149" spans="1:21" hidden="1" x14ac:dyDescent="0.2">
      <c r="A149" s="186" t="s">
        <v>144</v>
      </c>
      <c r="B149" s="128">
        <f t="shared" si="21"/>
        <v>6</v>
      </c>
      <c r="C149" s="128" t="s">
        <v>76</v>
      </c>
      <c r="D149" s="128" t="s">
        <v>315</v>
      </c>
      <c r="E149" s="127">
        <v>1053</v>
      </c>
      <c r="F149" s="127">
        <v>97081455</v>
      </c>
      <c r="G149" s="127" t="s">
        <v>1643</v>
      </c>
      <c r="H149" s="187"/>
      <c r="I149" s="187"/>
      <c r="P149" t="str">
        <f t="shared" si="16"/>
        <v>FERRIERES6</v>
      </c>
      <c r="Q149" t="str">
        <f t="shared" si="17"/>
        <v>DIOT</v>
      </c>
      <c r="R149" t="str">
        <f t="shared" si="18"/>
        <v>Antoine</v>
      </c>
      <c r="S149">
        <f t="shared" si="19"/>
        <v>1053</v>
      </c>
      <c r="T149">
        <f t="shared" si="20"/>
        <v>97081455</v>
      </c>
      <c r="U149" t="s">
        <v>630</v>
      </c>
    </row>
    <row r="150" spans="1:21" hidden="1" x14ac:dyDescent="0.2">
      <c r="A150" s="186" t="s">
        <v>144</v>
      </c>
      <c r="B150" s="128">
        <f t="shared" si="21"/>
        <v>7</v>
      </c>
      <c r="C150" s="128" t="s">
        <v>76</v>
      </c>
      <c r="D150" s="128" t="s">
        <v>317</v>
      </c>
      <c r="E150" s="127">
        <v>500</v>
      </c>
      <c r="F150" s="127">
        <v>97081456</v>
      </c>
      <c r="G150" s="127" t="s">
        <v>1856</v>
      </c>
      <c r="H150" s="187"/>
      <c r="I150" s="187"/>
      <c r="P150" t="str">
        <f t="shared" si="16"/>
        <v>FERRIERES7</v>
      </c>
      <c r="Q150" t="str">
        <f t="shared" si="17"/>
        <v>DIOT</v>
      </c>
      <c r="R150" t="str">
        <f t="shared" si="18"/>
        <v>Thomas</v>
      </c>
      <c r="S150">
        <f t="shared" si="19"/>
        <v>500</v>
      </c>
      <c r="T150">
        <f t="shared" si="20"/>
        <v>97081456</v>
      </c>
      <c r="U150" t="s">
        <v>628</v>
      </c>
    </row>
    <row r="151" spans="1:21" hidden="1" x14ac:dyDescent="0.2">
      <c r="A151" s="186" t="s">
        <v>144</v>
      </c>
      <c r="B151" s="128">
        <f t="shared" si="21"/>
        <v>8</v>
      </c>
      <c r="C151" s="128" t="s">
        <v>64</v>
      </c>
      <c r="D151" s="128" t="s">
        <v>301</v>
      </c>
      <c r="E151" s="127">
        <v>1244</v>
      </c>
      <c r="F151" s="127">
        <v>87421386</v>
      </c>
      <c r="G151" s="127" t="s">
        <v>1643</v>
      </c>
      <c r="H151" s="187"/>
      <c r="I151" s="187"/>
      <c r="P151" t="str">
        <f t="shared" si="16"/>
        <v>FERRIERES8</v>
      </c>
      <c r="Q151" t="str">
        <f t="shared" si="17"/>
        <v>FABIEN</v>
      </c>
      <c r="R151" t="str">
        <f t="shared" si="18"/>
        <v>David</v>
      </c>
      <c r="S151">
        <f t="shared" si="19"/>
        <v>1244</v>
      </c>
      <c r="T151">
        <f t="shared" si="20"/>
        <v>87421386</v>
      </c>
      <c r="U151" t="s">
        <v>188</v>
      </c>
    </row>
    <row r="152" spans="1:21" hidden="1" x14ac:dyDescent="0.2">
      <c r="A152" s="186" t="s">
        <v>144</v>
      </c>
      <c r="B152" s="128">
        <f t="shared" si="21"/>
        <v>9</v>
      </c>
      <c r="C152" s="128" t="s">
        <v>65</v>
      </c>
      <c r="D152" s="128" t="s">
        <v>290</v>
      </c>
      <c r="E152" s="127">
        <v>1305</v>
      </c>
      <c r="F152" s="127">
        <v>87451259</v>
      </c>
      <c r="G152" s="127" t="s">
        <v>1643</v>
      </c>
      <c r="H152" s="187"/>
      <c r="I152" s="187"/>
      <c r="P152" t="str">
        <f t="shared" si="16"/>
        <v>FERRIERES9</v>
      </c>
      <c r="Q152" t="str">
        <f t="shared" si="17"/>
        <v>HAUTY</v>
      </c>
      <c r="R152" t="str">
        <f t="shared" si="18"/>
        <v>Alexandre</v>
      </c>
      <c r="S152">
        <f t="shared" si="19"/>
        <v>1305</v>
      </c>
      <c r="T152">
        <f t="shared" si="20"/>
        <v>87451259</v>
      </c>
      <c r="U152" t="s">
        <v>189</v>
      </c>
    </row>
    <row r="153" spans="1:21" hidden="1" x14ac:dyDescent="0.2">
      <c r="A153" s="186" t="s">
        <v>144</v>
      </c>
      <c r="B153" s="128">
        <f t="shared" si="21"/>
        <v>10</v>
      </c>
      <c r="C153" s="128" t="s">
        <v>623</v>
      </c>
      <c r="D153" s="128" t="s">
        <v>335</v>
      </c>
      <c r="E153" s="127">
        <v>962</v>
      </c>
      <c r="F153" s="127">
        <v>87408742</v>
      </c>
      <c r="G153" s="127" t="s">
        <v>1643</v>
      </c>
      <c r="H153" s="187"/>
      <c r="I153" s="187"/>
      <c r="P153" t="str">
        <f t="shared" si="16"/>
        <v>FERRIERES10</v>
      </c>
      <c r="Q153" t="str">
        <f t="shared" si="17"/>
        <v>HOUSSAIS</v>
      </c>
      <c r="R153" t="str">
        <f t="shared" si="18"/>
        <v>Michel</v>
      </c>
      <c r="S153">
        <f t="shared" si="19"/>
        <v>962</v>
      </c>
      <c r="T153">
        <f t="shared" si="20"/>
        <v>87408742</v>
      </c>
      <c r="U153" t="s">
        <v>629</v>
      </c>
    </row>
    <row r="154" spans="1:21" hidden="1" x14ac:dyDescent="0.2">
      <c r="A154" s="186" t="s">
        <v>144</v>
      </c>
      <c r="B154" s="128">
        <f t="shared" si="21"/>
        <v>11</v>
      </c>
      <c r="C154" s="128" t="s">
        <v>66</v>
      </c>
      <c r="D154" s="128" t="s">
        <v>307</v>
      </c>
      <c r="E154" s="127">
        <v>1291</v>
      </c>
      <c r="F154" s="127">
        <v>87455680</v>
      </c>
      <c r="G154" s="127" t="s">
        <v>1643</v>
      </c>
      <c r="H154" s="187"/>
      <c r="I154" s="187"/>
      <c r="P154" t="str">
        <f t="shared" si="16"/>
        <v>FERRIERES11</v>
      </c>
      <c r="Q154" t="str">
        <f t="shared" si="17"/>
        <v>HUNOUT</v>
      </c>
      <c r="R154" t="str">
        <f t="shared" si="18"/>
        <v>Guillaume</v>
      </c>
      <c r="S154">
        <f t="shared" si="19"/>
        <v>1291</v>
      </c>
      <c r="T154">
        <f t="shared" si="20"/>
        <v>87455680</v>
      </c>
      <c r="U154" t="s">
        <v>190</v>
      </c>
    </row>
    <row r="155" spans="1:21" hidden="1" x14ac:dyDescent="0.2">
      <c r="A155" s="186" t="s">
        <v>144</v>
      </c>
      <c r="B155" s="128">
        <f t="shared" si="21"/>
        <v>12</v>
      </c>
      <c r="C155" s="128" t="s">
        <v>60</v>
      </c>
      <c r="D155" s="128" t="s">
        <v>314</v>
      </c>
      <c r="E155" s="127">
        <v>1408</v>
      </c>
      <c r="F155" s="127">
        <v>43317317</v>
      </c>
      <c r="G155" s="127" t="s">
        <v>1643</v>
      </c>
      <c r="H155" s="187"/>
      <c r="I155" s="187"/>
      <c r="P155" t="str">
        <f t="shared" si="16"/>
        <v>FERRIERES12</v>
      </c>
      <c r="Q155" t="str">
        <f t="shared" si="17"/>
        <v>JACQUERY</v>
      </c>
      <c r="R155" t="str">
        <f t="shared" si="18"/>
        <v>Julien</v>
      </c>
      <c r="S155">
        <f t="shared" si="19"/>
        <v>1408</v>
      </c>
      <c r="T155">
        <f t="shared" si="20"/>
        <v>43317317</v>
      </c>
      <c r="U155" t="s">
        <v>191</v>
      </c>
    </row>
    <row r="156" spans="1:21" hidden="1" x14ac:dyDescent="0.2">
      <c r="A156" s="186" t="s">
        <v>144</v>
      </c>
      <c r="B156" s="128">
        <f t="shared" si="21"/>
        <v>13</v>
      </c>
      <c r="C156" s="128" t="s">
        <v>1075</v>
      </c>
      <c r="D156" s="128" t="s">
        <v>280</v>
      </c>
      <c r="E156" s="127">
        <v>900</v>
      </c>
      <c r="F156" s="127">
        <v>97102231</v>
      </c>
      <c r="G156" s="127" t="s">
        <v>1643</v>
      </c>
      <c r="H156" s="187"/>
      <c r="I156" s="187"/>
      <c r="P156" t="str">
        <f t="shared" si="16"/>
        <v>FERRIERES13</v>
      </c>
      <c r="Q156" t="str">
        <f t="shared" si="17"/>
        <v>LAMBERT</v>
      </c>
      <c r="R156" t="str">
        <f t="shared" si="18"/>
        <v>Franck</v>
      </c>
      <c r="S156">
        <f t="shared" si="19"/>
        <v>900</v>
      </c>
      <c r="T156">
        <f t="shared" si="20"/>
        <v>97102231</v>
      </c>
      <c r="U156" t="s">
        <v>1118</v>
      </c>
    </row>
    <row r="157" spans="1:21" hidden="1" x14ac:dyDescent="0.2">
      <c r="A157" s="186" t="s">
        <v>144</v>
      </c>
      <c r="B157" s="128">
        <f t="shared" si="21"/>
        <v>14</v>
      </c>
      <c r="C157" s="128" t="s">
        <v>62</v>
      </c>
      <c r="D157" s="128" t="s">
        <v>293</v>
      </c>
      <c r="E157" s="127">
        <v>993</v>
      </c>
      <c r="F157" s="127">
        <v>55338279</v>
      </c>
      <c r="G157" s="127" t="s">
        <v>1643</v>
      </c>
      <c r="H157" s="187"/>
      <c r="I157" s="187"/>
      <c r="P157" t="str">
        <f t="shared" si="16"/>
        <v>FERRIERES14</v>
      </c>
      <c r="Q157" t="str">
        <f t="shared" si="17"/>
        <v>LEISER</v>
      </c>
      <c r="R157" t="str">
        <f t="shared" si="18"/>
        <v>Christophe</v>
      </c>
      <c r="S157">
        <f t="shared" si="19"/>
        <v>993</v>
      </c>
      <c r="T157">
        <f t="shared" si="20"/>
        <v>55338279</v>
      </c>
      <c r="U157" t="s">
        <v>192</v>
      </c>
    </row>
    <row r="158" spans="1:21" hidden="1" x14ac:dyDescent="0.2">
      <c r="A158" s="186" t="s">
        <v>144</v>
      </c>
      <c r="B158" s="128">
        <f t="shared" si="21"/>
        <v>15</v>
      </c>
      <c r="C158" s="128" t="s">
        <v>61</v>
      </c>
      <c r="D158" s="128" t="s">
        <v>295</v>
      </c>
      <c r="E158" s="127">
        <v>1171</v>
      </c>
      <c r="F158" s="127">
        <v>51214916</v>
      </c>
      <c r="G158" s="127" t="s">
        <v>1643</v>
      </c>
      <c r="H158" s="187"/>
      <c r="I158" s="187"/>
      <c r="P158" t="str">
        <f t="shared" si="16"/>
        <v>FERRIERES15</v>
      </c>
      <c r="Q158" t="str">
        <f t="shared" si="17"/>
        <v>MEUNIER</v>
      </c>
      <c r="R158" t="str">
        <f t="shared" si="18"/>
        <v>Pascal</v>
      </c>
      <c r="S158">
        <f t="shared" si="19"/>
        <v>1171</v>
      </c>
      <c r="T158">
        <f t="shared" si="20"/>
        <v>51214916</v>
      </c>
      <c r="U158" t="s">
        <v>193</v>
      </c>
    </row>
    <row r="159" spans="1:21" hidden="1" x14ac:dyDescent="0.2">
      <c r="A159" s="186" t="s">
        <v>144</v>
      </c>
      <c r="B159" s="128">
        <f t="shared" si="21"/>
        <v>16</v>
      </c>
      <c r="C159" s="128" t="s">
        <v>68</v>
      </c>
      <c r="D159" s="128" t="s">
        <v>337</v>
      </c>
      <c r="E159" s="127">
        <v>1102</v>
      </c>
      <c r="F159" s="127">
        <v>87462930</v>
      </c>
      <c r="G159" s="127" t="s">
        <v>1643</v>
      </c>
      <c r="H159" s="187"/>
      <c r="I159" s="187"/>
      <c r="P159" t="str">
        <f t="shared" si="16"/>
        <v>FERRIERES16</v>
      </c>
      <c r="Q159" t="str">
        <f t="shared" si="17"/>
        <v>PHILIPS</v>
      </c>
      <c r="R159" t="str">
        <f t="shared" si="18"/>
        <v>Maxime</v>
      </c>
      <c r="S159">
        <f t="shared" si="19"/>
        <v>1102</v>
      </c>
      <c r="T159">
        <f t="shared" si="20"/>
        <v>87462930</v>
      </c>
      <c r="U159" t="s">
        <v>194</v>
      </c>
    </row>
    <row r="160" spans="1:21" hidden="1" x14ac:dyDescent="0.2">
      <c r="A160" s="186" t="s">
        <v>144</v>
      </c>
      <c r="B160" s="128">
        <f t="shared" si="21"/>
        <v>17</v>
      </c>
      <c r="C160" s="128" t="s">
        <v>745</v>
      </c>
      <c r="D160" s="128" t="s">
        <v>760</v>
      </c>
      <c r="E160" s="127">
        <v>500</v>
      </c>
      <c r="F160" s="127">
        <v>97089131</v>
      </c>
      <c r="G160" s="127" t="s">
        <v>1856</v>
      </c>
      <c r="H160" s="187"/>
      <c r="I160" s="187"/>
      <c r="P160" t="str">
        <f t="shared" si="16"/>
        <v>FERRIERES17</v>
      </c>
      <c r="Q160" t="str">
        <f t="shared" si="17"/>
        <v>PUZONE</v>
      </c>
      <c r="R160" t="str">
        <f t="shared" si="18"/>
        <v>Salvatore</v>
      </c>
      <c r="S160">
        <f t="shared" si="19"/>
        <v>500</v>
      </c>
      <c r="T160">
        <f t="shared" si="20"/>
        <v>97089131</v>
      </c>
      <c r="U160" t="s">
        <v>777</v>
      </c>
    </row>
    <row r="161" spans="1:21" hidden="1" x14ac:dyDescent="0.2">
      <c r="A161" s="186" t="s">
        <v>144</v>
      </c>
      <c r="B161" s="128">
        <f t="shared" si="21"/>
        <v>18</v>
      </c>
      <c r="C161" s="128" t="s">
        <v>709</v>
      </c>
      <c r="D161" s="128" t="s">
        <v>718</v>
      </c>
      <c r="E161" s="127">
        <v>1263</v>
      </c>
      <c r="F161" s="127">
        <v>47346149</v>
      </c>
      <c r="G161" s="127" t="s">
        <v>1643</v>
      </c>
      <c r="H161" s="187"/>
      <c r="I161" s="187"/>
      <c r="P161" t="str">
        <f t="shared" si="16"/>
        <v>FERRIERES18</v>
      </c>
      <c r="Q161" t="str">
        <f t="shared" si="17"/>
        <v>SYRYKHANE</v>
      </c>
      <c r="R161" t="str">
        <f t="shared" si="18"/>
        <v>Bounmy</v>
      </c>
      <c r="S161">
        <f t="shared" si="19"/>
        <v>1263</v>
      </c>
      <c r="T161">
        <f t="shared" si="20"/>
        <v>47346149</v>
      </c>
      <c r="U161" t="s">
        <v>725</v>
      </c>
    </row>
    <row r="162" spans="1:21" hidden="1" x14ac:dyDescent="0.2">
      <c r="A162" s="186" t="s">
        <v>144</v>
      </c>
      <c r="B162" s="128">
        <f t="shared" si="21"/>
        <v>19</v>
      </c>
      <c r="C162" s="128" t="s">
        <v>70</v>
      </c>
      <c r="D162" s="128" t="s">
        <v>338</v>
      </c>
      <c r="E162" s="127">
        <v>686</v>
      </c>
      <c r="F162" s="127">
        <v>87412294</v>
      </c>
      <c r="G162" s="127" t="s">
        <v>1643</v>
      </c>
      <c r="H162" s="187"/>
      <c r="I162" s="187"/>
      <c r="P162" t="str">
        <f t="shared" si="16"/>
        <v>FERRIERES19</v>
      </c>
      <c r="Q162" t="str">
        <f t="shared" si="17"/>
        <v>TAVON</v>
      </c>
      <c r="R162" t="str">
        <f t="shared" si="18"/>
        <v>Lionel</v>
      </c>
      <c r="S162">
        <f t="shared" si="19"/>
        <v>686</v>
      </c>
      <c r="T162">
        <f t="shared" si="20"/>
        <v>87412294</v>
      </c>
      <c r="U162" t="s">
        <v>195</v>
      </c>
    </row>
    <row r="163" spans="1:21" hidden="1" x14ac:dyDescent="0.2">
      <c r="A163" s="186" t="s">
        <v>146</v>
      </c>
      <c r="B163" s="128">
        <f t="shared" si="21"/>
        <v>1</v>
      </c>
      <c r="C163" s="128" t="s">
        <v>669</v>
      </c>
      <c r="D163" s="128" t="s">
        <v>314</v>
      </c>
      <c r="E163" s="127">
        <v>1032</v>
      </c>
      <c r="F163" s="127">
        <v>97085630</v>
      </c>
      <c r="G163" s="127" t="s">
        <v>1643</v>
      </c>
      <c r="H163" s="187"/>
      <c r="I163" s="187"/>
      <c r="P163" t="str">
        <f t="shared" ref="P163:P198" si="22">A163&amp;B163</f>
        <v>MAROLLES1</v>
      </c>
      <c r="Q163" t="str">
        <f t="shared" si="17"/>
        <v>AMAR</v>
      </c>
      <c r="R163" t="str">
        <f t="shared" si="18"/>
        <v>Julien</v>
      </c>
      <c r="S163">
        <f t="shared" si="19"/>
        <v>1032</v>
      </c>
      <c r="T163">
        <f t="shared" si="20"/>
        <v>97085630</v>
      </c>
      <c r="U163" t="s">
        <v>670</v>
      </c>
    </row>
    <row r="164" spans="1:21" hidden="1" x14ac:dyDescent="0.2">
      <c r="A164" s="186" t="s">
        <v>146</v>
      </c>
      <c r="B164" s="128">
        <f t="shared" ref="B164:B195" si="23">IF(A164=A163,B163+1,1)</f>
        <v>2</v>
      </c>
      <c r="C164" s="128" t="s">
        <v>1166</v>
      </c>
      <c r="D164" s="128" t="s">
        <v>1289</v>
      </c>
      <c r="E164" s="127">
        <v>523</v>
      </c>
      <c r="F164" s="127">
        <v>97102262</v>
      </c>
      <c r="G164" s="127" t="s">
        <v>1856</v>
      </c>
      <c r="H164" s="187"/>
      <c r="I164" s="187"/>
      <c r="P164" t="str">
        <f t="shared" si="22"/>
        <v>MAROLLES2</v>
      </c>
      <c r="Q164" t="str">
        <f t="shared" si="17"/>
        <v>BAEZER PLE</v>
      </c>
      <c r="R164" t="str">
        <f t="shared" si="18"/>
        <v>Toan</v>
      </c>
      <c r="S164">
        <f t="shared" si="19"/>
        <v>523</v>
      </c>
      <c r="T164">
        <f t="shared" si="20"/>
        <v>97102262</v>
      </c>
      <c r="U164" t="s">
        <v>1383</v>
      </c>
    </row>
    <row r="165" spans="1:21" hidden="1" x14ac:dyDescent="0.2">
      <c r="A165" s="186" t="s">
        <v>146</v>
      </c>
      <c r="B165" s="128">
        <f t="shared" si="23"/>
        <v>3</v>
      </c>
      <c r="C165" s="128" t="s">
        <v>1599</v>
      </c>
      <c r="D165" s="128" t="s">
        <v>1606</v>
      </c>
      <c r="E165" s="127">
        <v>500</v>
      </c>
      <c r="F165" s="127">
        <v>97108400</v>
      </c>
      <c r="G165" s="127" t="s">
        <v>1856</v>
      </c>
      <c r="H165" s="187"/>
      <c r="I165" s="187"/>
      <c r="P165" t="str">
        <f t="shared" si="22"/>
        <v>MAROLLES3</v>
      </c>
      <c r="Q165" t="str">
        <f t="shared" si="17"/>
        <v>BEKKAOUI</v>
      </c>
      <c r="R165" t="str">
        <f t="shared" si="18"/>
        <v>Rayan</v>
      </c>
      <c r="S165">
        <f t="shared" si="19"/>
        <v>500</v>
      </c>
      <c r="T165">
        <f t="shared" si="20"/>
        <v>97108400</v>
      </c>
      <c r="U165" t="s">
        <v>1612</v>
      </c>
    </row>
    <row r="166" spans="1:21" hidden="1" x14ac:dyDescent="0.2">
      <c r="A166" s="186" t="s">
        <v>146</v>
      </c>
      <c r="B166" s="128">
        <f t="shared" si="23"/>
        <v>4</v>
      </c>
      <c r="C166" s="128" t="s">
        <v>1168</v>
      </c>
      <c r="D166" s="128" t="s">
        <v>1291</v>
      </c>
      <c r="E166" s="127">
        <v>500</v>
      </c>
      <c r="F166" s="127">
        <v>97102259</v>
      </c>
      <c r="G166" s="127" t="s">
        <v>1643</v>
      </c>
      <c r="H166" s="187"/>
      <c r="I166" s="187"/>
      <c r="P166" t="str">
        <f t="shared" si="22"/>
        <v>MAROLLES4</v>
      </c>
      <c r="Q166" t="str">
        <f t="shared" si="17"/>
        <v>BERNARD</v>
      </c>
      <c r="R166" t="str">
        <f t="shared" si="18"/>
        <v>Keylan</v>
      </c>
      <c r="S166">
        <f t="shared" si="19"/>
        <v>500</v>
      </c>
      <c r="T166">
        <f t="shared" si="20"/>
        <v>97102259</v>
      </c>
      <c r="U166" t="s">
        <v>1385</v>
      </c>
    </row>
    <row r="167" spans="1:21" hidden="1" x14ac:dyDescent="0.2">
      <c r="A167" s="186" t="s">
        <v>146</v>
      </c>
      <c r="B167" s="128">
        <f t="shared" si="23"/>
        <v>5</v>
      </c>
      <c r="C167" s="128" t="s">
        <v>1801</v>
      </c>
      <c r="D167" s="128" t="s">
        <v>1802</v>
      </c>
      <c r="E167" s="127">
        <v>500</v>
      </c>
      <c r="F167" s="127">
        <v>97109906</v>
      </c>
      <c r="G167" s="127" t="s">
        <v>1643</v>
      </c>
      <c r="H167" s="187"/>
      <c r="I167" s="187"/>
      <c r="P167" t="str">
        <f t="shared" si="22"/>
        <v>MAROLLES5</v>
      </c>
      <c r="Q167" t="str">
        <f t="shared" si="17"/>
        <v>BERTINI</v>
      </c>
      <c r="R167" t="str">
        <f t="shared" si="18"/>
        <v>Emile</v>
      </c>
      <c r="S167">
        <f t="shared" si="19"/>
        <v>500</v>
      </c>
      <c r="T167">
        <f t="shared" si="20"/>
        <v>97109906</v>
      </c>
      <c r="U167" t="s">
        <v>1826</v>
      </c>
    </row>
    <row r="168" spans="1:21" hidden="1" x14ac:dyDescent="0.2">
      <c r="A168" s="186" t="s">
        <v>146</v>
      </c>
      <c r="B168" s="128">
        <f t="shared" si="23"/>
        <v>6</v>
      </c>
      <c r="C168" s="128" t="s">
        <v>1801</v>
      </c>
      <c r="D168" s="128" t="s">
        <v>720</v>
      </c>
      <c r="E168" s="127">
        <v>500</v>
      </c>
      <c r="F168" s="127">
        <v>97109907</v>
      </c>
      <c r="G168" s="127" t="s">
        <v>1643</v>
      </c>
      <c r="H168" s="187"/>
      <c r="I168" s="187"/>
      <c r="P168" t="str">
        <f t="shared" si="22"/>
        <v>MAROLLES6</v>
      </c>
      <c r="Q168" t="str">
        <f t="shared" si="17"/>
        <v>BERTINI</v>
      </c>
      <c r="R168" t="str">
        <f t="shared" si="18"/>
        <v>Ethan</v>
      </c>
      <c r="S168">
        <f t="shared" si="19"/>
        <v>500</v>
      </c>
      <c r="T168">
        <f t="shared" si="20"/>
        <v>97109907</v>
      </c>
      <c r="U168" t="s">
        <v>1827</v>
      </c>
    </row>
    <row r="169" spans="1:21" hidden="1" x14ac:dyDescent="0.2">
      <c r="A169" s="186" t="s">
        <v>146</v>
      </c>
      <c r="B169" s="128">
        <f t="shared" si="23"/>
        <v>7</v>
      </c>
      <c r="C169" s="128" t="s">
        <v>632</v>
      </c>
      <c r="D169" s="128" t="s">
        <v>640</v>
      </c>
      <c r="E169" s="127">
        <v>950</v>
      </c>
      <c r="F169" s="127">
        <v>87409928</v>
      </c>
      <c r="G169" s="127" t="s">
        <v>1643</v>
      </c>
      <c r="H169" s="187"/>
      <c r="I169" s="187"/>
      <c r="P169" t="str">
        <f t="shared" si="22"/>
        <v>MAROLLES7</v>
      </c>
      <c r="Q169" t="str">
        <f t="shared" si="17"/>
        <v>BERTINOTTI</v>
      </c>
      <c r="R169" t="str">
        <f t="shared" si="18"/>
        <v>René</v>
      </c>
      <c r="S169">
        <f t="shared" si="19"/>
        <v>950</v>
      </c>
      <c r="T169">
        <f t="shared" si="20"/>
        <v>87409928</v>
      </c>
      <c r="U169" t="s">
        <v>642</v>
      </c>
    </row>
    <row r="170" spans="1:21" hidden="1" x14ac:dyDescent="0.2">
      <c r="A170" s="186" t="s">
        <v>146</v>
      </c>
      <c r="B170" s="128">
        <f t="shared" si="23"/>
        <v>8</v>
      </c>
      <c r="C170" s="128" t="s">
        <v>1180</v>
      </c>
      <c r="D170" s="128" t="s">
        <v>1301</v>
      </c>
      <c r="E170" s="127">
        <v>500</v>
      </c>
      <c r="F170" s="127">
        <v>97103865</v>
      </c>
      <c r="G170" s="127" t="s">
        <v>1856</v>
      </c>
      <c r="H170" s="187"/>
      <c r="I170" s="187"/>
      <c r="P170" t="str">
        <f t="shared" si="22"/>
        <v>MAROLLES8</v>
      </c>
      <c r="Q170" t="str">
        <f t="shared" si="17"/>
        <v>BOULET</v>
      </c>
      <c r="R170" t="str">
        <f t="shared" si="18"/>
        <v>Bastien</v>
      </c>
      <c r="S170">
        <f t="shared" si="19"/>
        <v>500</v>
      </c>
      <c r="T170">
        <f t="shared" si="20"/>
        <v>97103865</v>
      </c>
      <c r="U170" t="s">
        <v>1400</v>
      </c>
    </row>
    <row r="171" spans="1:21" hidden="1" x14ac:dyDescent="0.2">
      <c r="A171" s="186" t="s">
        <v>146</v>
      </c>
      <c r="B171" s="128">
        <f t="shared" si="23"/>
        <v>9</v>
      </c>
      <c r="C171" s="128" t="s">
        <v>512</v>
      </c>
      <c r="D171" s="128" t="s">
        <v>612</v>
      </c>
      <c r="E171" s="127">
        <v>500</v>
      </c>
      <c r="F171" s="127">
        <v>97079804</v>
      </c>
      <c r="G171" s="127" t="s">
        <v>1643</v>
      </c>
      <c r="H171" s="187"/>
      <c r="I171" s="187"/>
      <c r="P171" t="str">
        <f t="shared" si="22"/>
        <v>MAROLLES9</v>
      </c>
      <c r="Q171" t="str">
        <f t="shared" si="17"/>
        <v>BOUTIN</v>
      </c>
      <c r="R171" t="str">
        <f t="shared" si="18"/>
        <v>Louka</v>
      </c>
      <c r="S171">
        <f t="shared" si="19"/>
        <v>500</v>
      </c>
      <c r="T171">
        <f t="shared" si="20"/>
        <v>97079804</v>
      </c>
      <c r="U171" t="s">
        <v>618</v>
      </c>
    </row>
    <row r="172" spans="1:21" hidden="1" x14ac:dyDescent="0.2">
      <c r="A172" s="186" t="s">
        <v>146</v>
      </c>
      <c r="B172" s="128">
        <f t="shared" si="23"/>
        <v>10</v>
      </c>
      <c r="C172" s="128" t="s">
        <v>512</v>
      </c>
      <c r="D172" s="128" t="s">
        <v>292</v>
      </c>
      <c r="E172" s="127">
        <v>591</v>
      </c>
      <c r="F172" s="127">
        <v>6461864</v>
      </c>
      <c r="G172" s="127" t="s">
        <v>1643</v>
      </c>
      <c r="H172" s="187"/>
      <c r="I172" s="187"/>
      <c r="P172" t="str">
        <f t="shared" si="22"/>
        <v>MAROLLES10</v>
      </c>
      <c r="Q172" t="str">
        <f t="shared" si="17"/>
        <v>BOUTIN</v>
      </c>
      <c r="R172" t="str">
        <f t="shared" si="18"/>
        <v>Philippe</v>
      </c>
      <c r="S172">
        <f t="shared" si="19"/>
        <v>591</v>
      </c>
      <c r="T172">
        <f t="shared" si="20"/>
        <v>6461864</v>
      </c>
      <c r="U172" t="s">
        <v>511</v>
      </c>
    </row>
    <row r="173" spans="1:21" hidden="1" x14ac:dyDescent="0.2">
      <c r="A173" s="186" t="s">
        <v>146</v>
      </c>
      <c r="B173" s="128">
        <f t="shared" si="23"/>
        <v>11</v>
      </c>
      <c r="C173" s="128" t="s">
        <v>452</v>
      </c>
      <c r="D173" s="128" t="s">
        <v>284</v>
      </c>
      <c r="E173" s="127">
        <v>500</v>
      </c>
      <c r="F173" s="127">
        <v>97078776</v>
      </c>
      <c r="G173" s="127" t="s">
        <v>1856</v>
      </c>
      <c r="H173" s="187"/>
      <c r="I173" s="187"/>
      <c r="P173" t="str">
        <f t="shared" si="22"/>
        <v>MAROLLES11</v>
      </c>
      <c r="Q173" t="str">
        <f t="shared" si="17"/>
        <v>BOUTIN COLIN</v>
      </c>
      <c r="R173" t="str">
        <f t="shared" si="18"/>
        <v>Vincent</v>
      </c>
      <c r="S173">
        <f t="shared" si="19"/>
        <v>500</v>
      </c>
      <c r="T173">
        <f t="shared" si="20"/>
        <v>97078776</v>
      </c>
      <c r="U173" t="s">
        <v>535</v>
      </c>
    </row>
    <row r="174" spans="1:21" hidden="1" x14ac:dyDescent="0.2">
      <c r="A174" s="186" t="s">
        <v>146</v>
      </c>
      <c r="B174" s="128">
        <f t="shared" si="23"/>
        <v>12</v>
      </c>
      <c r="C174" s="128" t="s">
        <v>1169</v>
      </c>
      <c r="D174" s="128" t="s">
        <v>337</v>
      </c>
      <c r="E174" s="127">
        <v>500</v>
      </c>
      <c r="F174" s="127">
        <v>97102260</v>
      </c>
      <c r="G174" s="127" t="s">
        <v>1856</v>
      </c>
      <c r="H174" s="187"/>
      <c r="I174" s="187"/>
      <c r="P174" t="str">
        <f t="shared" si="22"/>
        <v>MAROLLES12</v>
      </c>
      <c r="Q174" t="str">
        <f t="shared" si="17"/>
        <v>BROCHARD</v>
      </c>
      <c r="R174" t="str">
        <f t="shared" si="18"/>
        <v>Maxime</v>
      </c>
      <c r="S174">
        <f t="shared" si="19"/>
        <v>500</v>
      </c>
      <c r="T174">
        <f t="shared" si="20"/>
        <v>97102260</v>
      </c>
      <c r="U174" t="s">
        <v>1386</v>
      </c>
    </row>
    <row r="175" spans="1:21" hidden="1" x14ac:dyDescent="0.2">
      <c r="A175" s="186" t="s">
        <v>146</v>
      </c>
      <c r="B175" s="128">
        <f t="shared" si="23"/>
        <v>13</v>
      </c>
      <c r="C175" s="128" t="s">
        <v>978</v>
      </c>
      <c r="D175" s="128" t="s">
        <v>983</v>
      </c>
      <c r="E175" s="127">
        <v>856</v>
      </c>
      <c r="F175" s="127">
        <v>97097352</v>
      </c>
      <c r="G175" s="127" t="s">
        <v>1643</v>
      </c>
      <c r="H175" s="187"/>
      <c r="I175" s="187"/>
      <c r="P175" t="str">
        <f t="shared" si="22"/>
        <v>MAROLLES13</v>
      </c>
      <c r="Q175" t="str">
        <f t="shared" si="17"/>
        <v>CALAME</v>
      </c>
      <c r="R175" t="str">
        <f t="shared" si="18"/>
        <v>Sebastien</v>
      </c>
      <c r="S175">
        <f t="shared" si="19"/>
        <v>856</v>
      </c>
      <c r="T175">
        <f t="shared" si="20"/>
        <v>97097352</v>
      </c>
      <c r="U175" t="s">
        <v>990</v>
      </c>
    </row>
    <row r="176" spans="1:21" hidden="1" x14ac:dyDescent="0.2">
      <c r="A176" s="186" t="s">
        <v>146</v>
      </c>
      <c r="B176" s="128">
        <f t="shared" si="23"/>
        <v>14</v>
      </c>
      <c r="C176" s="128" t="s">
        <v>1163</v>
      </c>
      <c r="D176" s="128" t="s">
        <v>1287</v>
      </c>
      <c r="E176" s="127">
        <v>516</v>
      </c>
      <c r="F176" s="127">
        <v>87419653</v>
      </c>
      <c r="G176" s="127" t="s">
        <v>1643</v>
      </c>
      <c r="H176" s="187"/>
      <c r="I176" s="187"/>
      <c r="P176" t="str">
        <f t="shared" si="22"/>
        <v>MAROLLES14</v>
      </c>
      <c r="Q176" t="str">
        <f t="shared" si="17"/>
        <v>CORTINA</v>
      </c>
      <c r="R176" t="str">
        <f t="shared" si="18"/>
        <v>Ludivine</v>
      </c>
      <c r="S176">
        <f t="shared" si="19"/>
        <v>516</v>
      </c>
      <c r="T176">
        <f t="shared" si="20"/>
        <v>87419653</v>
      </c>
      <c r="U176" t="s">
        <v>1380</v>
      </c>
    </row>
    <row r="177" spans="1:21" hidden="1" x14ac:dyDescent="0.2">
      <c r="A177" s="186" t="s">
        <v>146</v>
      </c>
      <c r="B177" s="128">
        <f t="shared" si="23"/>
        <v>15</v>
      </c>
      <c r="C177" s="128" t="s">
        <v>1627</v>
      </c>
      <c r="D177" s="128" t="s">
        <v>1271</v>
      </c>
      <c r="E177" s="127">
        <v>500</v>
      </c>
      <c r="F177" s="127">
        <v>97108662</v>
      </c>
      <c r="G177" s="127" t="s">
        <v>1856</v>
      </c>
      <c r="H177" s="187"/>
      <c r="I177" s="187"/>
      <c r="P177" t="str">
        <f t="shared" si="22"/>
        <v>MAROLLES15</v>
      </c>
      <c r="Q177" t="str">
        <f t="shared" si="17"/>
        <v>DANJOU</v>
      </c>
      <c r="R177" t="str">
        <f t="shared" si="18"/>
        <v>Arthur</v>
      </c>
      <c r="S177">
        <f t="shared" si="19"/>
        <v>500</v>
      </c>
      <c r="T177">
        <f t="shared" si="20"/>
        <v>97108662</v>
      </c>
      <c r="U177" t="s">
        <v>1649</v>
      </c>
    </row>
    <row r="178" spans="1:21" hidden="1" x14ac:dyDescent="0.2">
      <c r="A178" s="186" t="s">
        <v>146</v>
      </c>
      <c r="B178" s="128">
        <f t="shared" si="23"/>
        <v>16</v>
      </c>
      <c r="C178" s="128" t="s">
        <v>1175</v>
      </c>
      <c r="D178" s="128" t="s">
        <v>1295</v>
      </c>
      <c r="E178" s="127">
        <v>500</v>
      </c>
      <c r="F178" s="127">
        <v>97086090</v>
      </c>
      <c r="G178" s="127" t="s">
        <v>1856</v>
      </c>
      <c r="H178" s="187"/>
      <c r="I178" s="187"/>
      <c r="P178" t="str">
        <f t="shared" si="22"/>
        <v>MAROLLES16</v>
      </c>
      <c r="Q178" t="str">
        <f t="shared" si="17"/>
        <v>DAVENEL</v>
      </c>
      <c r="R178" t="str">
        <f t="shared" si="18"/>
        <v>Martin</v>
      </c>
      <c r="S178">
        <f t="shared" si="19"/>
        <v>500</v>
      </c>
      <c r="T178">
        <f t="shared" si="20"/>
        <v>97086090</v>
      </c>
      <c r="U178" t="s">
        <v>1392</v>
      </c>
    </row>
    <row r="179" spans="1:21" hidden="1" x14ac:dyDescent="0.2">
      <c r="A179" s="186" t="s">
        <v>146</v>
      </c>
      <c r="B179" s="128">
        <f t="shared" si="23"/>
        <v>17</v>
      </c>
      <c r="C179" s="128" t="s">
        <v>1600</v>
      </c>
      <c r="D179" s="128" t="s">
        <v>310</v>
      </c>
      <c r="E179" s="127">
        <v>500</v>
      </c>
      <c r="F179" s="127">
        <v>97108457</v>
      </c>
      <c r="G179" s="127" t="s">
        <v>1643</v>
      </c>
      <c r="H179" s="187"/>
      <c r="I179" s="187"/>
      <c r="P179" t="str">
        <f t="shared" si="22"/>
        <v>MAROLLES17</v>
      </c>
      <c r="Q179" t="str">
        <f t="shared" si="17"/>
        <v>DE JONCKERE</v>
      </c>
      <c r="R179" t="str">
        <f t="shared" si="18"/>
        <v>Alain</v>
      </c>
      <c r="S179">
        <f t="shared" si="19"/>
        <v>500</v>
      </c>
      <c r="T179">
        <f t="shared" si="20"/>
        <v>97108457</v>
      </c>
      <c r="U179" t="s">
        <v>1613</v>
      </c>
    </row>
    <row r="180" spans="1:21" hidden="1" x14ac:dyDescent="0.2">
      <c r="A180" s="186" t="s">
        <v>146</v>
      </c>
      <c r="B180" s="128">
        <f t="shared" si="23"/>
        <v>18</v>
      </c>
      <c r="C180" s="128" t="s">
        <v>1600</v>
      </c>
      <c r="D180" s="128" t="s">
        <v>944</v>
      </c>
      <c r="E180" s="127">
        <v>500</v>
      </c>
      <c r="F180" s="127">
        <v>97108458</v>
      </c>
      <c r="G180" s="127" t="s">
        <v>1643</v>
      </c>
      <c r="H180" s="187"/>
      <c r="I180" s="187"/>
      <c r="P180" t="str">
        <f t="shared" si="22"/>
        <v>MAROLLES18</v>
      </c>
      <c r="Q180" t="str">
        <f t="shared" si="17"/>
        <v>DE JONCKERE</v>
      </c>
      <c r="R180" t="str">
        <f t="shared" si="18"/>
        <v>Claire</v>
      </c>
      <c r="S180">
        <f t="shared" si="19"/>
        <v>500</v>
      </c>
      <c r="T180">
        <f t="shared" si="20"/>
        <v>97108458</v>
      </c>
      <c r="U180" t="s">
        <v>1614</v>
      </c>
    </row>
    <row r="181" spans="1:21" hidden="1" x14ac:dyDescent="0.2">
      <c r="A181" s="186" t="s">
        <v>146</v>
      </c>
      <c r="B181" s="128">
        <f t="shared" si="23"/>
        <v>19</v>
      </c>
      <c r="C181" s="128" t="s">
        <v>1171</v>
      </c>
      <c r="D181" s="128" t="s">
        <v>1292</v>
      </c>
      <c r="E181" s="127">
        <v>500</v>
      </c>
      <c r="F181" s="127">
        <v>97102261</v>
      </c>
      <c r="G181" s="127" t="s">
        <v>1856</v>
      </c>
      <c r="H181" s="187"/>
      <c r="I181" s="187"/>
      <c r="P181" t="str">
        <f t="shared" si="22"/>
        <v>MAROLLES19</v>
      </c>
      <c r="Q181" t="str">
        <f t="shared" si="17"/>
        <v>DE SOUSA</v>
      </c>
      <c r="R181" t="str">
        <f t="shared" si="18"/>
        <v>Samuel</v>
      </c>
      <c r="S181">
        <f t="shared" si="19"/>
        <v>500</v>
      </c>
      <c r="T181">
        <f t="shared" si="20"/>
        <v>97102261</v>
      </c>
      <c r="U181" t="s">
        <v>1388</v>
      </c>
    </row>
    <row r="182" spans="1:21" hidden="1" x14ac:dyDescent="0.2">
      <c r="A182" s="186" t="s">
        <v>146</v>
      </c>
      <c r="B182" s="128">
        <f t="shared" si="23"/>
        <v>20</v>
      </c>
      <c r="C182" s="128" t="s">
        <v>1181</v>
      </c>
      <c r="D182" s="128" t="s">
        <v>1302</v>
      </c>
      <c r="E182" s="127">
        <v>500</v>
      </c>
      <c r="F182" s="127">
        <v>97103866</v>
      </c>
      <c r="G182" s="127" t="s">
        <v>1643</v>
      </c>
      <c r="H182" s="187"/>
      <c r="I182" s="187"/>
      <c r="P182" t="str">
        <f t="shared" si="22"/>
        <v>MAROLLES20</v>
      </c>
      <c r="Q182" t="str">
        <f t="shared" si="17"/>
        <v>DECOURT</v>
      </c>
      <c r="R182" t="str">
        <f t="shared" si="18"/>
        <v>Aurore</v>
      </c>
      <c r="S182">
        <f t="shared" si="19"/>
        <v>500</v>
      </c>
      <c r="T182">
        <f t="shared" si="20"/>
        <v>97103866</v>
      </c>
      <c r="U182" t="s">
        <v>1401</v>
      </c>
    </row>
    <row r="183" spans="1:21" hidden="1" x14ac:dyDescent="0.2">
      <c r="A183" s="186" t="s">
        <v>146</v>
      </c>
      <c r="B183" s="128">
        <f t="shared" si="23"/>
        <v>21</v>
      </c>
      <c r="C183" s="128" t="s">
        <v>687</v>
      </c>
      <c r="D183" s="128" t="s">
        <v>706</v>
      </c>
      <c r="E183" s="127">
        <v>769</v>
      </c>
      <c r="F183" s="127">
        <v>97083229</v>
      </c>
      <c r="G183" s="127" t="s">
        <v>1643</v>
      </c>
      <c r="H183" s="187"/>
      <c r="I183" s="187"/>
      <c r="P183" t="str">
        <f t="shared" si="22"/>
        <v>MAROLLES21</v>
      </c>
      <c r="Q183" t="str">
        <f t="shared" si="17"/>
        <v>DELHOUM</v>
      </c>
      <c r="R183" t="str">
        <f t="shared" si="18"/>
        <v>Kenza</v>
      </c>
      <c r="S183">
        <f t="shared" si="19"/>
        <v>769</v>
      </c>
      <c r="T183">
        <f t="shared" si="20"/>
        <v>97083229</v>
      </c>
      <c r="U183" t="s">
        <v>698</v>
      </c>
    </row>
    <row r="184" spans="1:21" hidden="1" x14ac:dyDescent="0.2">
      <c r="A184" s="186" t="s">
        <v>146</v>
      </c>
      <c r="B184" s="128">
        <f t="shared" si="23"/>
        <v>22</v>
      </c>
      <c r="C184" s="128" t="s">
        <v>1184</v>
      </c>
      <c r="D184" s="128" t="s">
        <v>345</v>
      </c>
      <c r="E184" s="127">
        <v>1235</v>
      </c>
      <c r="F184" s="127">
        <v>97102265</v>
      </c>
      <c r="G184" s="127" t="s">
        <v>1643</v>
      </c>
      <c r="H184" s="187"/>
      <c r="I184" s="187"/>
      <c r="P184" t="str">
        <f t="shared" si="22"/>
        <v>MAROLLES22</v>
      </c>
      <c r="Q184" t="str">
        <f t="shared" si="17"/>
        <v>DUBUC</v>
      </c>
      <c r="R184" t="str">
        <f t="shared" si="18"/>
        <v>James</v>
      </c>
      <c r="S184">
        <f t="shared" si="19"/>
        <v>1235</v>
      </c>
      <c r="T184">
        <f t="shared" si="20"/>
        <v>97102265</v>
      </c>
      <c r="U184" t="s">
        <v>1404</v>
      </c>
    </row>
    <row r="185" spans="1:21" hidden="1" x14ac:dyDescent="0.2">
      <c r="A185" s="186" t="s">
        <v>146</v>
      </c>
      <c r="B185" s="128">
        <f t="shared" si="23"/>
        <v>23</v>
      </c>
      <c r="C185" s="128" t="s">
        <v>1162</v>
      </c>
      <c r="D185" s="128" t="s">
        <v>1337</v>
      </c>
      <c r="E185" s="127">
        <v>671</v>
      </c>
      <c r="F185" s="127">
        <v>97102253</v>
      </c>
      <c r="G185" s="127" t="s">
        <v>1643</v>
      </c>
      <c r="H185" s="187"/>
      <c r="I185" s="187"/>
      <c r="P185" t="str">
        <f t="shared" si="22"/>
        <v>MAROLLES23</v>
      </c>
      <c r="Q185" t="str">
        <f t="shared" si="17"/>
        <v>DUPONT</v>
      </c>
      <c r="R185" t="str">
        <f t="shared" si="18"/>
        <v>Anne-Marie</v>
      </c>
      <c r="S185">
        <f t="shared" si="19"/>
        <v>671</v>
      </c>
      <c r="T185">
        <f t="shared" si="20"/>
        <v>97102253</v>
      </c>
      <c r="U185" t="s">
        <v>1596</v>
      </c>
    </row>
    <row r="186" spans="1:21" hidden="1" x14ac:dyDescent="0.2">
      <c r="A186" s="186" t="s">
        <v>146</v>
      </c>
      <c r="B186" s="128">
        <f t="shared" si="23"/>
        <v>24</v>
      </c>
      <c r="C186" s="128" t="s">
        <v>1172</v>
      </c>
      <c r="D186" s="128" t="s">
        <v>1293</v>
      </c>
      <c r="E186" s="127">
        <v>518</v>
      </c>
      <c r="F186" s="127">
        <v>97102266</v>
      </c>
      <c r="G186" s="127" t="s">
        <v>1856</v>
      </c>
      <c r="H186" s="187"/>
      <c r="I186" s="187"/>
      <c r="P186" t="str">
        <f t="shared" si="22"/>
        <v>MAROLLES24</v>
      </c>
      <c r="Q186" t="str">
        <f t="shared" si="17"/>
        <v>FASSIER</v>
      </c>
      <c r="R186" t="str">
        <f t="shared" si="18"/>
        <v>Thiméo</v>
      </c>
      <c r="S186">
        <f t="shared" si="19"/>
        <v>518</v>
      </c>
      <c r="T186">
        <f t="shared" si="20"/>
        <v>97102266</v>
      </c>
      <c r="U186" t="s">
        <v>1389</v>
      </c>
    </row>
    <row r="187" spans="1:21" hidden="1" x14ac:dyDescent="0.2">
      <c r="A187" s="186" t="s">
        <v>146</v>
      </c>
      <c r="B187" s="128">
        <f t="shared" si="23"/>
        <v>25</v>
      </c>
      <c r="C187" s="128" t="s">
        <v>1164</v>
      </c>
      <c r="D187" s="128" t="s">
        <v>1288</v>
      </c>
      <c r="E187" s="127">
        <v>500</v>
      </c>
      <c r="F187" s="127">
        <v>97103867</v>
      </c>
      <c r="G187" s="127" t="s">
        <v>1643</v>
      </c>
      <c r="H187" s="187"/>
      <c r="I187" s="187"/>
      <c r="P187" t="str">
        <f t="shared" si="22"/>
        <v>MAROLLES25</v>
      </c>
      <c r="Q187" t="str">
        <f t="shared" si="17"/>
        <v>FEUGUEUR</v>
      </c>
      <c r="R187" t="str">
        <f t="shared" si="18"/>
        <v>Kevin</v>
      </c>
      <c r="S187">
        <f t="shared" si="19"/>
        <v>500</v>
      </c>
      <c r="T187">
        <f t="shared" si="20"/>
        <v>97103867</v>
      </c>
      <c r="U187" t="s">
        <v>1381</v>
      </c>
    </row>
    <row r="188" spans="1:21" hidden="1" x14ac:dyDescent="0.2">
      <c r="A188" s="186" t="s">
        <v>146</v>
      </c>
      <c r="B188" s="128">
        <f t="shared" si="23"/>
        <v>26</v>
      </c>
      <c r="C188" s="128" t="s">
        <v>1177</v>
      </c>
      <c r="D188" s="128" t="s">
        <v>306</v>
      </c>
      <c r="E188" s="127">
        <v>500</v>
      </c>
      <c r="F188" s="127">
        <v>97103868</v>
      </c>
      <c r="G188" s="127" t="s">
        <v>1856</v>
      </c>
      <c r="H188" s="187"/>
      <c r="I188" s="187"/>
      <c r="P188" t="str">
        <f t="shared" si="22"/>
        <v>MAROLLES26</v>
      </c>
      <c r="Q188" t="str">
        <f t="shared" si="17"/>
        <v>FORÊT</v>
      </c>
      <c r="R188" t="str">
        <f t="shared" si="18"/>
        <v>Valentin</v>
      </c>
      <c r="S188">
        <f t="shared" si="19"/>
        <v>500</v>
      </c>
      <c r="T188">
        <f t="shared" si="20"/>
        <v>97103868</v>
      </c>
      <c r="U188" t="s">
        <v>1506</v>
      </c>
    </row>
    <row r="189" spans="1:21" hidden="1" x14ac:dyDescent="0.2">
      <c r="A189" s="186" t="s">
        <v>146</v>
      </c>
      <c r="B189" s="128">
        <f t="shared" si="23"/>
        <v>27</v>
      </c>
      <c r="C189" s="128" t="s">
        <v>1178</v>
      </c>
      <c r="D189" s="128" t="s">
        <v>1297</v>
      </c>
      <c r="E189" s="127">
        <v>500</v>
      </c>
      <c r="F189" s="127">
        <v>97103869</v>
      </c>
      <c r="G189" s="127" t="s">
        <v>1856</v>
      </c>
      <c r="H189" s="187"/>
      <c r="I189" s="187"/>
      <c r="P189" t="str">
        <f t="shared" si="22"/>
        <v>MAROLLES27</v>
      </c>
      <c r="Q189" t="str">
        <f t="shared" si="17"/>
        <v>GEORGES</v>
      </c>
      <c r="R189" t="str">
        <f t="shared" si="18"/>
        <v>Ny Hasima</v>
      </c>
      <c r="S189">
        <f t="shared" si="19"/>
        <v>500</v>
      </c>
      <c r="T189">
        <f t="shared" si="20"/>
        <v>97103869</v>
      </c>
      <c r="U189" t="s">
        <v>1395</v>
      </c>
    </row>
    <row r="190" spans="1:21" hidden="1" x14ac:dyDescent="0.2">
      <c r="A190" s="186" t="s">
        <v>146</v>
      </c>
      <c r="B190" s="128">
        <f t="shared" si="23"/>
        <v>28</v>
      </c>
      <c r="C190" s="128" t="s">
        <v>1523</v>
      </c>
      <c r="D190" s="128" t="s">
        <v>313</v>
      </c>
      <c r="E190" s="127">
        <v>753</v>
      </c>
      <c r="F190" s="127">
        <v>97108209</v>
      </c>
      <c r="G190" s="127" t="s">
        <v>1643</v>
      </c>
      <c r="H190" s="187"/>
      <c r="I190" s="187"/>
      <c r="P190" t="str">
        <f t="shared" si="22"/>
        <v>MAROLLES28</v>
      </c>
      <c r="Q190" t="str">
        <f t="shared" si="17"/>
        <v>GERARD</v>
      </c>
      <c r="R190" t="str">
        <f t="shared" si="18"/>
        <v>Emmanuel</v>
      </c>
      <c r="S190">
        <f t="shared" si="19"/>
        <v>753</v>
      </c>
      <c r="T190">
        <f t="shared" si="20"/>
        <v>97108209</v>
      </c>
      <c r="U190" t="s">
        <v>1568</v>
      </c>
    </row>
    <row r="191" spans="1:21" hidden="1" x14ac:dyDescent="0.2">
      <c r="A191" s="186" t="s">
        <v>146</v>
      </c>
      <c r="B191" s="128">
        <f t="shared" si="23"/>
        <v>29</v>
      </c>
      <c r="C191" s="128" t="s">
        <v>1800</v>
      </c>
      <c r="D191" s="128" t="s">
        <v>282</v>
      </c>
      <c r="E191" s="127">
        <v>500</v>
      </c>
      <c r="F191" s="127">
        <v>97109908</v>
      </c>
      <c r="G191" s="127" t="s">
        <v>1643</v>
      </c>
      <c r="H191" s="187"/>
      <c r="I191" s="187"/>
      <c r="P191" t="str">
        <f t="shared" si="22"/>
        <v>MAROLLES29</v>
      </c>
      <c r="Q191" t="str">
        <f t="shared" si="17"/>
        <v>HANAUER</v>
      </c>
      <c r="R191" t="str">
        <f t="shared" si="18"/>
        <v>Olivier</v>
      </c>
      <c r="S191">
        <f t="shared" si="19"/>
        <v>500</v>
      </c>
      <c r="T191">
        <f t="shared" si="20"/>
        <v>97109908</v>
      </c>
      <c r="U191" t="s">
        <v>1828</v>
      </c>
    </row>
    <row r="192" spans="1:21" hidden="1" x14ac:dyDescent="0.2">
      <c r="A192" s="186" t="s">
        <v>146</v>
      </c>
      <c r="B192" s="128">
        <f t="shared" si="23"/>
        <v>30</v>
      </c>
      <c r="C192" s="128" t="s">
        <v>1176</v>
      </c>
      <c r="D192" s="128" t="s">
        <v>1296</v>
      </c>
      <c r="E192" s="127">
        <v>500</v>
      </c>
      <c r="F192" s="127">
        <v>97103870</v>
      </c>
      <c r="G192" s="127" t="s">
        <v>1856</v>
      </c>
      <c r="H192" s="187"/>
      <c r="I192" s="187"/>
      <c r="P192" t="str">
        <f t="shared" si="22"/>
        <v>MAROLLES30</v>
      </c>
      <c r="Q192" t="str">
        <f t="shared" si="17"/>
        <v>HAVY</v>
      </c>
      <c r="R192" t="str">
        <f t="shared" si="18"/>
        <v>Sonia</v>
      </c>
      <c r="S192">
        <f t="shared" si="19"/>
        <v>500</v>
      </c>
      <c r="T192">
        <f t="shared" si="20"/>
        <v>97103870</v>
      </c>
      <c r="U192" t="s">
        <v>1394</v>
      </c>
    </row>
    <row r="193" spans="1:21" hidden="1" x14ac:dyDescent="0.2">
      <c r="A193" s="186" t="s">
        <v>146</v>
      </c>
      <c r="B193" s="128">
        <f t="shared" si="23"/>
        <v>31</v>
      </c>
      <c r="C193" s="128" t="s">
        <v>1179</v>
      </c>
      <c r="D193" s="128" t="s">
        <v>1299</v>
      </c>
      <c r="E193" s="127">
        <v>500</v>
      </c>
      <c r="F193" s="127">
        <v>97103871</v>
      </c>
      <c r="G193" s="127" t="s">
        <v>1856</v>
      </c>
      <c r="H193" s="187"/>
      <c r="I193" s="187"/>
      <c r="P193" t="str">
        <f t="shared" si="22"/>
        <v>MAROLLES31</v>
      </c>
      <c r="Q193" t="str">
        <f t="shared" si="17"/>
        <v>JABOU</v>
      </c>
      <c r="R193" t="str">
        <f t="shared" si="18"/>
        <v>Ilyes</v>
      </c>
      <c r="S193">
        <f t="shared" si="19"/>
        <v>500</v>
      </c>
      <c r="T193">
        <f t="shared" si="20"/>
        <v>97103871</v>
      </c>
      <c r="U193" t="s">
        <v>1397</v>
      </c>
    </row>
    <row r="194" spans="1:21" hidden="1" x14ac:dyDescent="0.2">
      <c r="A194" s="186" t="s">
        <v>146</v>
      </c>
      <c r="B194" s="128">
        <f t="shared" si="23"/>
        <v>32</v>
      </c>
      <c r="C194" s="128" t="s">
        <v>1179</v>
      </c>
      <c r="D194" s="128" t="s">
        <v>1298</v>
      </c>
      <c r="E194" s="127">
        <v>500</v>
      </c>
      <c r="F194" s="127">
        <v>97103872</v>
      </c>
      <c r="G194" s="127" t="s">
        <v>1856</v>
      </c>
      <c r="H194" s="187"/>
      <c r="I194" s="187"/>
      <c r="P194" t="str">
        <f t="shared" si="22"/>
        <v>MAROLLES32</v>
      </c>
      <c r="Q194" t="str">
        <f t="shared" si="17"/>
        <v>JABOU</v>
      </c>
      <c r="R194" t="str">
        <f t="shared" si="18"/>
        <v>Mohamed</v>
      </c>
      <c r="S194">
        <f t="shared" si="19"/>
        <v>500</v>
      </c>
      <c r="T194">
        <f t="shared" si="20"/>
        <v>97103872</v>
      </c>
      <c r="U194" t="s">
        <v>1396</v>
      </c>
    </row>
    <row r="195" spans="1:21" hidden="1" x14ac:dyDescent="0.2">
      <c r="A195" s="186" t="s">
        <v>146</v>
      </c>
      <c r="B195" s="128">
        <f t="shared" si="23"/>
        <v>33</v>
      </c>
      <c r="C195" s="128" t="s">
        <v>688</v>
      </c>
      <c r="D195" s="128" t="s">
        <v>315</v>
      </c>
      <c r="E195" s="127">
        <v>587</v>
      </c>
      <c r="F195" s="127">
        <v>97083230</v>
      </c>
      <c r="G195" s="127" t="s">
        <v>1643</v>
      </c>
      <c r="H195" s="187"/>
      <c r="I195" s="187"/>
      <c r="P195" t="str">
        <f t="shared" si="22"/>
        <v>MAROLLES33</v>
      </c>
      <c r="Q195" t="str">
        <f t="shared" ref="Q195:Q259" si="24">C195</f>
        <v>JACQ BOYER</v>
      </c>
      <c r="R195" t="str">
        <f t="shared" ref="R195:R259" si="25">D195</f>
        <v>Antoine</v>
      </c>
      <c r="S195">
        <f t="shared" ref="S195:S259" si="26">E195</f>
        <v>587</v>
      </c>
      <c r="T195">
        <f t="shared" ref="T195:T259" si="27">F195</f>
        <v>97083230</v>
      </c>
      <c r="U195" t="s">
        <v>699</v>
      </c>
    </row>
    <row r="196" spans="1:21" hidden="1" x14ac:dyDescent="0.2">
      <c r="A196" s="186" t="s">
        <v>146</v>
      </c>
      <c r="B196" s="128">
        <f t="shared" ref="B196:B199" si="28">IF(A196=A195,B195+1,1)</f>
        <v>34</v>
      </c>
      <c r="C196" s="128" t="s">
        <v>1183</v>
      </c>
      <c r="D196" s="128" t="s">
        <v>1300</v>
      </c>
      <c r="E196" s="127">
        <v>500</v>
      </c>
      <c r="F196" s="127">
        <v>97103873</v>
      </c>
      <c r="G196" s="127" t="s">
        <v>1856</v>
      </c>
      <c r="H196" s="187"/>
      <c r="I196" s="187"/>
      <c r="P196" t="str">
        <f t="shared" si="22"/>
        <v>MAROLLES34</v>
      </c>
      <c r="Q196" t="str">
        <f t="shared" si="24"/>
        <v>LANCE</v>
      </c>
      <c r="R196" t="str">
        <f t="shared" si="25"/>
        <v>Hugo</v>
      </c>
      <c r="S196">
        <f t="shared" si="26"/>
        <v>500</v>
      </c>
      <c r="T196">
        <f t="shared" si="27"/>
        <v>97103873</v>
      </c>
      <c r="U196" t="s">
        <v>1403</v>
      </c>
    </row>
    <row r="197" spans="1:21" hidden="1" x14ac:dyDescent="0.2">
      <c r="A197" s="186" t="s">
        <v>146</v>
      </c>
      <c r="B197" s="128">
        <f t="shared" si="28"/>
        <v>35</v>
      </c>
      <c r="C197" s="128" t="s">
        <v>830</v>
      </c>
      <c r="D197" s="128" t="s">
        <v>626</v>
      </c>
      <c r="E197" s="127">
        <v>863</v>
      </c>
      <c r="F197" s="127">
        <v>87423078</v>
      </c>
      <c r="G197" s="127" t="s">
        <v>1643</v>
      </c>
      <c r="H197" s="187"/>
      <c r="I197" s="187"/>
      <c r="P197" t="str">
        <f t="shared" si="22"/>
        <v>MAROLLES35</v>
      </c>
      <c r="Q197" t="str">
        <f t="shared" si="24"/>
        <v>LAUMONIER</v>
      </c>
      <c r="R197" t="str">
        <f t="shared" si="25"/>
        <v>Céline</v>
      </c>
      <c r="S197">
        <f t="shared" si="26"/>
        <v>863</v>
      </c>
      <c r="T197">
        <f t="shared" si="27"/>
        <v>87423078</v>
      </c>
      <c r="U197" t="s">
        <v>1505</v>
      </c>
    </row>
    <row r="198" spans="1:21" hidden="1" x14ac:dyDescent="0.2">
      <c r="A198" s="186" t="s">
        <v>146</v>
      </c>
      <c r="B198" s="128">
        <f t="shared" si="28"/>
        <v>36</v>
      </c>
      <c r="C198" s="128" t="s">
        <v>830</v>
      </c>
      <c r="D198" s="128" t="s">
        <v>598</v>
      </c>
      <c r="E198" s="127">
        <v>671</v>
      </c>
      <c r="F198" s="127">
        <v>97092920</v>
      </c>
      <c r="G198" s="127" t="s">
        <v>1643</v>
      </c>
      <c r="H198" s="187"/>
      <c r="I198" s="187"/>
      <c r="P198" t="str">
        <f t="shared" si="22"/>
        <v>MAROLLES36</v>
      </c>
      <c r="Q198" t="str">
        <f t="shared" si="24"/>
        <v>LAUMONIER</v>
      </c>
      <c r="R198" t="str">
        <f t="shared" si="25"/>
        <v>Dorian</v>
      </c>
      <c r="S198">
        <f t="shared" si="26"/>
        <v>671</v>
      </c>
      <c r="T198">
        <f t="shared" si="27"/>
        <v>97092920</v>
      </c>
      <c r="U198" t="s">
        <v>892</v>
      </c>
    </row>
    <row r="199" spans="1:21" hidden="1" x14ac:dyDescent="0.2">
      <c r="A199" s="186" t="s">
        <v>146</v>
      </c>
      <c r="B199" s="128">
        <f t="shared" si="28"/>
        <v>37</v>
      </c>
      <c r="C199" s="128" t="s">
        <v>830</v>
      </c>
      <c r="D199" s="128" t="s">
        <v>343</v>
      </c>
      <c r="E199" s="127">
        <v>1400</v>
      </c>
      <c r="F199" s="127">
        <v>55333709</v>
      </c>
      <c r="G199" s="127" t="s">
        <v>1643</v>
      </c>
      <c r="H199" s="187"/>
      <c r="I199" s="187"/>
      <c r="P199" t="str">
        <f t="shared" ref="P199:P225" si="29">A199&amp;B199</f>
        <v>MAROLLES37</v>
      </c>
      <c r="Q199" t="str">
        <f t="shared" si="24"/>
        <v>LAUMONIER</v>
      </c>
      <c r="R199" t="str">
        <f t="shared" si="25"/>
        <v>Sylvain</v>
      </c>
      <c r="S199">
        <f t="shared" si="26"/>
        <v>1400</v>
      </c>
      <c r="T199">
        <f t="shared" si="27"/>
        <v>55333709</v>
      </c>
      <c r="U199" t="s">
        <v>1962</v>
      </c>
    </row>
    <row r="200" spans="1:21" hidden="1" x14ac:dyDescent="0.2">
      <c r="A200" s="186" t="s">
        <v>146</v>
      </c>
      <c r="B200" s="128">
        <f t="shared" ref="B200:B225" si="30">IF(A200=A199,B199+1,1)</f>
        <v>38</v>
      </c>
      <c r="C200" s="128" t="s">
        <v>830</v>
      </c>
      <c r="D200" s="128" t="s">
        <v>984</v>
      </c>
      <c r="E200" s="127">
        <v>797</v>
      </c>
      <c r="F200" s="127">
        <v>97097848</v>
      </c>
      <c r="G200" s="127" t="s">
        <v>1643</v>
      </c>
      <c r="H200" s="187"/>
      <c r="I200" s="187"/>
      <c r="P200" t="str">
        <f t="shared" si="29"/>
        <v>MAROLLES38</v>
      </c>
      <c r="Q200" t="str">
        <f t="shared" si="24"/>
        <v>LAUMONIER</v>
      </c>
      <c r="R200" t="str">
        <f t="shared" si="25"/>
        <v>Téo</v>
      </c>
      <c r="S200">
        <f t="shared" si="26"/>
        <v>797</v>
      </c>
      <c r="T200">
        <f t="shared" si="27"/>
        <v>97097848</v>
      </c>
      <c r="U200" t="s">
        <v>991</v>
      </c>
    </row>
    <row r="201" spans="1:21" hidden="1" x14ac:dyDescent="0.2">
      <c r="A201" s="186" t="s">
        <v>146</v>
      </c>
      <c r="B201" s="128">
        <f t="shared" si="30"/>
        <v>39</v>
      </c>
      <c r="C201" s="128" t="s">
        <v>1173</v>
      </c>
      <c r="D201" s="128" t="s">
        <v>292</v>
      </c>
      <c r="E201" s="127">
        <v>711</v>
      </c>
      <c r="F201" s="127">
        <v>55341618</v>
      </c>
      <c r="G201" s="127" t="s">
        <v>1643</v>
      </c>
      <c r="H201" s="187"/>
      <c r="I201" s="187"/>
      <c r="P201" t="str">
        <f t="shared" si="29"/>
        <v>MAROLLES39</v>
      </c>
      <c r="Q201" t="str">
        <f t="shared" si="24"/>
        <v>LEGOFF</v>
      </c>
      <c r="R201" t="str">
        <f t="shared" si="25"/>
        <v>Philippe</v>
      </c>
      <c r="S201">
        <f t="shared" si="26"/>
        <v>711</v>
      </c>
      <c r="T201">
        <f t="shared" si="27"/>
        <v>55341618</v>
      </c>
      <c r="U201" t="s">
        <v>1390</v>
      </c>
    </row>
    <row r="202" spans="1:21" hidden="1" x14ac:dyDescent="0.2">
      <c r="A202" s="186" t="s">
        <v>146</v>
      </c>
      <c r="B202" s="128">
        <f t="shared" si="30"/>
        <v>40</v>
      </c>
      <c r="C202" s="128" t="s">
        <v>792</v>
      </c>
      <c r="D202" s="128" t="s">
        <v>661</v>
      </c>
      <c r="E202" s="127">
        <v>599</v>
      </c>
      <c r="F202" s="127">
        <v>97090192</v>
      </c>
      <c r="G202" s="127" t="s">
        <v>1856</v>
      </c>
      <c r="H202" s="187"/>
      <c r="I202" s="187"/>
      <c r="P202" t="str">
        <f t="shared" si="29"/>
        <v>MAROLLES40</v>
      </c>
      <c r="Q202" t="str">
        <f t="shared" si="24"/>
        <v>LI</v>
      </c>
      <c r="R202" t="str">
        <f t="shared" si="25"/>
        <v>Enzo</v>
      </c>
      <c r="S202">
        <f t="shared" si="26"/>
        <v>599</v>
      </c>
      <c r="T202">
        <f t="shared" si="27"/>
        <v>97090192</v>
      </c>
      <c r="U202" t="s">
        <v>805</v>
      </c>
    </row>
    <row r="203" spans="1:21" hidden="1" x14ac:dyDescent="0.2">
      <c r="A203" s="186" t="s">
        <v>146</v>
      </c>
      <c r="B203" s="128">
        <f t="shared" si="30"/>
        <v>41</v>
      </c>
      <c r="C203" s="128" t="s">
        <v>792</v>
      </c>
      <c r="D203" s="128" t="s">
        <v>303</v>
      </c>
      <c r="E203" s="127">
        <v>500</v>
      </c>
      <c r="F203" s="127">
        <v>97104700</v>
      </c>
      <c r="G203" s="127" t="s">
        <v>1856</v>
      </c>
      <c r="H203" s="187"/>
      <c r="I203" s="187"/>
      <c r="P203" t="str">
        <f t="shared" si="29"/>
        <v>MAROLLES41</v>
      </c>
      <c r="Q203" t="str">
        <f t="shared" si="24"/>
        <v>LI</v>
      </c>
      <c r="R203" t="str">
        <f t="shared" si="25"/>
        <v>Lucas</v>
      </c>
      <c r="S203">
        <f t="shared" si="26"/>
        <v>500</v>
      </c>
      <c r="T203">
        <f t="shared" si="27"/>
        <v>97104700</v>
      </c>
      <c r="U203" t="s">
        <v>1393</v>
      </c>
    </row>
    <row r="204" spans="1:21" hidden="1" x14ac:dyDescent="0.2">
      <c r="A204" s="186" t="s">
        <v>146</v>
      </c>
      <c r="B204" s="128">
        <f t="shared" si="30"/>
        <v>42</v>
      </c>
      <c r="C204" s="128" t="s">
        <v>1628</v>
      </c>
      <c r="D204" s="128" t="s">
        <v>1639</v>
      </c>
      <c r="E204" s="127">
        <v>761</v>
      </c>
      <c r="F204" s="127">
        <v>97108663</v>
      </c>
      <c r="G204" s="127" t="s">
        <v>1643</v>
      </c>
      <c r="H204" s="187"/>
      <c r="I204" s="187"/>
      <c r="P204" t="str">
        <f t="shared" si="29"/>
        <v>MAROLLES42</v>
      </c>
      <c r="Q204" t="str">
        <f t="shared" si="24"/>
        <v>LORIMIER</v>
      </c>
      <c r="R204" t="str">
        <f t="shared" si="25"/>
        <v>Angélique</v>
      </c>
      <c r="S204">
        <f t="shared" si="26"/>
        <v>761</v>
      </c>
      <c r="T204">
        <f t="shared" si="27"/>
        <v>97108663</v>
      </c>
      <c r="U204" t="s">
        <v>1650</v>
      </c>
    </row>
    <row r="205" spans="1:21" hidden="1" x14ac:dyDescent="0.2">
      <c r="A205" s="186" t="s">
        <v>146</v>
      </c>
      <c r="B205" s="128">
        <f t="shared" si="30"/>
        <v>43</v>
      </c>
      <c r="C205" s="128" t="s">
        <v>689</v>
      </c>
      <c r="D205" s="128" t="s">
        <v>291</v>
      </c>
      <c r="E205" s="127">
        <v>667</v>
      </c>
      <c r="F205" s="127">
        <v>97088070</v>
      </c>
      <c r="G205" s="127" t="s">
        <v>1643</v>
      </c>
      <c r="H205" s="187"/>
      <c r="I205" s="187"/>
      <c r="P205" t="str">
        <f t="shared" si="29"/>
        <v>MAROLLES43</v>
      </c>
      <c r="Q205" t="str">
        <f t="shared" si="24"/>
        <v>MACQUET</v>
      </c>
      <c r="R205" t="str">
        <f t="shared" si="25"/>
        <v>Florian</v>
      </c>
      <c r="S205">
        <f t="shared" si="26"/>
        <v>667</v>
      </c>
      <c r="T205">
        <f t="shared" si="27"/>
        <v>97088070</v>
      </c>
      <c r="U205" t="s">
        <v>778</v>
      </c>
    </row>
    <row r="206" spans="1:21" hidden="1" x14ac:dyDescent="0.2">
      <c r="A206" s="186" t="s">
        <v>146</v>
      </c>
      <c r="B206" s="128">
        <f t="shared" si="30"/>
        <v>44</v>
      </c>
      <c r="C206" s="128" t="s">
        <v>689</v>
      </c>
      <c r="D206" s="128" t="s">
        <v>815</v>
      </c>
      <c r="E206" s="127">
        <v>864</v>
      </c>
      <c r="F206" s="127">
        <v>97083234</v>
      </c>
      <c r="G206" s="127" t="s">
        <v>1643</v>
      </c>
      <c r="H206" s="187"/>
      <c r="I206" s="187"/>
      <c r="P206" t="str">
        <f t="shared" si="29"/>
        <v>MAROLLES44</v>
      </c>
      <c r="Q206" t="str">
        <f t="shared" si="24"/>
        <v>MACQUET</v>
      </c>
      <c r="R206" t="str">
        <f t="shared" si="25"/>
        <v>Mathys</v>
      </c>
      <c r="S206">
        <f t="shared" si="26"/>
        <v>864</v>
      </c>
      <c r="T206">
        <f t="shared" si="27"/>
        <v>97083234</v>
      </c>
      <c r="U206" t="s">
        <v>816</v>
      </c>
    </row>
    <row r="207" spans="1:21" hidden="1" x14ac:dyDescent="0.2">
      <c r="A207" s="186" t="s">
        <v>146</v>
      </c>
      <c r="B207" s="128">
        <f t="shared" si="30"/>
        <v>45</v>
      </c>
      <c r="C207" s="128" t="s">
        <v>1007</v>
      </c>
      <c r="D207" s="128" t="s">
        <v>1300</v>
      </c>
      <c r="E207" s="127">
        <v>500</v>
      </c>
      <c r="F207" s="127">
        <v>97103874</v>
      </c>
      <c r="G207" s="127" t="s">
        <v>1856</v>
      </c>
      <c r="H207" s="187"/>
      <c r="I207" s="187"/>
      <c r="P207" t="str">
        <f t="shared" si="29"/>
        <v>MAROLLES45</v>
      </c>
      <c r="Q207" t="str">
        <f t="shared" si="24"/>
        <v>MADELAINE</v>
      </c>
      <c r="R207" t="str">
        <f t="shared" si="25"/>
        <v>Hugo</v>
      </c>
      <c r="S207">
        <f t="shared" si="26"/>
        <v>500</v>
      </c>
      <c r="T207">
        <f t="shared" si="27"/>
        <v>97103874</v>
      </c>
      <c r="U207" t="s">
        <v>1398</v>
      </c>
    </row>
    <row r="208" spans="1:21" hidden="1" x14ac:dyDescent="0.2">
      <c r="A208" s="186" t="s">
        <v>146</v>
      </c>
      <c r="B208" s="128">
        <f t="shared" si="30"/>
        <v>46</v>
      </c>
      <c r="C208" s="128" t="s">
        <v>579</v>
      </c>
      <c r="D208" s="128" t="s">
        <v>279</v>
      </c>
      <c r="E208" s="127">
        <v>500</v>
      </c>
      <c r="F208" s="127">
        <v>97081497</v>
      </c>
      <c r="G208" s="127" t="s">
        <v>1643</v>
      </c>
      <c r="H208" s="187"/>
      <c r="I208" s="187"/>
      <c r="P208" t="str">
        <f t="shared" si="29"/>
        <v>MAROLLES46</v>
      </c>
      <c r="Q208" t="str">
        <f t="shared" si="24"/>
        <v>MENARD</v>
      </c>
      <c r="R208" t="str">
        <f t="shared" si="25"/>
        <v>Dominique</v>
      </c>
      <c r="S208">
        <f t="shared" si="26"/>
        <v>500</v>
      </c>
      <c r="T208">
        <f t="shared" si="27"/>
        <v>97081497</v>
      </c>
      <c r="U208" t="s">
        <v>580</v>
      </c>
    </row>
    <row r="209" spans="1:21" hidden="1" x14ac:dyDescent="0.2">
      <c r="A209" s="186" t="s">
        <v>146</v>
      </c>
      <c r="B209" s="128">
        <f t="shared" si="30"/>
        <v>47</v>
      </c>
      <c r="C209" s="128" t="s">
        <v>61</v>
      </c>
      <c r="D209" s="128" t="s">
        <v>284</v>
      </c>
      <c r="E209" s="127">
        <v>500</v>
      </c>
      <c r="F209" s="127">
        <v>97103875</v>
      </c>
      <c r="G209" s="127" t="s">
        <v>1856</v>
      </c>
      <c r="H209" s="187"/>
      <c r="I209" s="187"/>
      <c r="P209" t="str">
        <f t="shared" si="29"/>
        <v>MAROLLES47</v>
      </c>
      <c r="Q209" t="str">
        <f t="shared" si="24"/>
        <v>MEUNIER</v>
      </c>
      <c r="R209" t="str">
        <f t="shared" si="25"/>
        <v>Vincent</v>
      </c>
      <c r="S209">
        <f t="shared" si="26"/>
        <v>500</v>
      </c>
      <c r="T209">
        <f t="shared" si="27"/>
        <v>97103875</v>
      </c>
      <c r="U209" t="s">
        <v>1399</v>
      </c>
    </row>
    <row r="210" spans="1:21" hidden="1" x14ac:dyDescent="0.2">
      <c r="A210" s="186" t="s">
        <v>146</v>
      </c>
      <c r="B210" s="128">
        <f t="shared" si="30"/>
        <v>48</v>
      </c>
      <c r="C210" s="128" t="s">
        <v>1182</v>
      </c>
      <c r="D210" s="128" t="s">
        <v>761</v>
      </c>
      <c r="E210" s="127">
        <v>500</v>
      </c>
      <c r="F210" s="127">
        <v>91109278</v>
      </c>
      <c r="G210" s="127" t="s">
        <v>1643</v>
      </c>
      <c r="H210" s="187"/>
      <c r="I210" s="187"/>
      <c r="P210" t="str">
        <f t="shared" si="29"/>
        <v>MAROLLES48</v>
      </c>
      <c r="Q210" t="str">
        <f t="shared" si="24"/>
        <v>MINEO</v>
      </c>
      <c r="R210" t="str">
        <f t="shared" si="25"/>
        <v>Mathias</v>
      </c>
      <c r="S210">
        <f t="shared" si="26"/>
        <v>500</v>
      </c>
      <c r="T210">
        <f t="shared" si="27"/>
        <v>91109278</v>
      </c>
      <c r="U210" t="s">
        <v>1829</v>
      </c>
    </row>
    <row r="211" spans="1:21" hidden="1" x14ac:dyDescent="0.2">
      <c r="A211" s="186" t="s">
        <v>146</v>
      </c>
      <c r="B211" s="128">
        <f t="shared" si="30"/>
        <v>49</v>
      </c>
      <c r="C211" s="128" t="s">
        <v>1182</v>
      </c>
      <c r="D211" s="128" t="s">
        <v>1303</v>
      </c>
      <c r="E211" s="127">
        <v>500</v>
      </c>
      <c r="F211" s="127">
        <v>97103876</v>
      </c>
      <c r="G211" s="127" t="s">
        <v>1643</v>
      </c>
      <c r="H211" s="187"/>
      <c r="I211" s="187"/>
      <c r="P211" t="str">
        <f t="shared" si="29"/>
        <v>MAROLLES49</v>
      </c>
      <c r="Q211" t="str">
        <f t="shared" si="24"/>
        <v>MINEO</v>
      </c>
      <c r="R211" t="str">
        <f t="shared" si="25"/>
        <v>Valentina</v>
      </c>
      <c r="S211">
        <f t="shared" si="26"/>
        <v>500</v>
      </c>
      <c r="T211">
        <f t="shared" si="27"/>
        <v>97103876</v>
      </c>
      <c r="U211" t="s">
        <v>1402</v>
      </c>
    </row>
    <row r="212" spans="1:21" hidden="1" x14ac:dyDescent="0.2">
      <c r="A212" s="186" t="s">
        <v>146</v>
      </c>
      <c r="B212" s="128">
        <f t="shared" si="30"/>
        <v>50</v>
      </c>
      <c r="C212" s="128" t="s">
        <v>855</v>
      </c>
      <c r="D212" s="128" t="s">
        <v>333</v>
      </c>
      <c r="E212" s="127">
        <v>894</v>
      </c>
      <c r="F212" s="127">
        <v>97092921</v>
      </c>
      <c r="G212" s="127" t="s">
        <v>1643</v>
      </c>
      <c r="H212" s="187"/>
      <c r="I212" s="187"/>
      <c r="P212" t="str">
        <f t="shared" si="29"/>
        <v>MAROLLES50</v>
      </c>
      <c r="Q212" t="str">
        <f t="shared" si="24"/>
        <v>MINÉO</v>
      </c>
      <c r="R212" t="str">
        <f t="shared" si="25"/>
        <v>Benjamin</v>
      </c>
      <c r="S212">
        <f t="shared" si="26"/>
        <v>894</v>
      </c>
      <c r="T212">
        <f t="shared" si="27"/>
        <v>97092921</v>
      </c>
      <c r="U212" t="s">
        <v>922</v>
      </c>
    </row>
    <row r="213" spans="1:21" hidden="1" x14ac:dyDescent="0.2">
      <c r="A213" s="186" t="s">
        <v>146</v>
      </c>
      <c r="B213" s="128">
        <f t="shared" si="30"/>
        <v>51</v>
      </c>
      <c r="C213" s="128" t="s">
        <v>1165</v>
      </c>
      <c r="D213" s="128" t="s">
        <v>292</v>
      </c>
      <c r="E213" s="127">
        <v>500</v>
      </c>
      <c r="F213" s="127">
        <v>97103877</v>
      </c>
      <c r="G213" s="127" t="s">
        <v>1856</v>
      </c>
      <c r="H213" s="187"/>
      <c r="I213" s="187"/>
      <c r="P213" t="str">
        <f t="shared" si="29"/>
        <v>MAROLLES51</v>
      </c>
      <c r="Q213" t="str">
        <f t="shared" si="24"/>
        <v>PAPON</v>
      </c>
      <c r="R213" t="str">
        <f t="shared" si="25"/>
        <v>Philippe</v>
      </c>
      <c r="S213">
        <f t="shared" si="26"/>
        <v>500</v>
      </c>
      <c r="T213">
        <f t="shared" si="27"/>
        <v>97103877</v>
      </c>
      <c r="U213" t="s">
        <v>1382</v>
      </c>
    </row>
    <row r="214" spans="1:21" hidden="1" x14ac:dyDescent="0.2">
      <c r="A214" s="186" t="s">
        <v>146</v>
      </c>
      <c r="B214" s="128">
        <f t="shared" si="30"/>
        <v>52</v>
      </c>
      <c r="C214" s="128" t="s">
        <v>1174</v>
      </c>
      <c r="D214" s="128" t="s">
        <v>1294</v>
      </c>
      <c r="E214" s="127">
        <v>500</v>
      </c>
      <c r="F214" s="127">
        <v>97084609</v>
      </c>
      <c r="G214" s="127" t="s">
        <v>1856</v>
      </c>
      <c r="H214" s="187"/>
      <c r="I214" s="187"/>
      <c r="P214" t="str">
        <f t="shared" si="29"/>
        <v>MAROLLES52</v>
      </c>
      <c r="Q214" t="str">
        <f t="shared" si="24"/>
        <v>PASQUET</v>
      </c>
      <c r="R214" t="str">
        <f t="shared" si="25"/>
        <v>Chrystel</v>
      </c>
      <c r="S214">
        <f t="shared" si="26"/>
        <v>500</v>
      </c>
      <c r="T214">
        <f t="shared" si="27"/>
        <v>97084609</v>
      </c>
      <c r="U214" t="s">
        <v>1391</v>
      </c>
    </row>
    <row r="215" spans="1:21" hidden="1" x14ac:dyDescent="0.2">
      <c r="A215" s="186" t="s">
        <v>146</v>
      </c>
      <c r="B215" s="128">
        <f t="shared" si="30"/>
        <v>53</v>
      </c>
      <c r="C215" s="128" t="s">
        <v>1524</v>
      </c>
      <c r="D215" s="128" t="s">
        <v>281</v>
      </c>
      <c r="E215" s="127">
        <v>500</v>
      </c>
      <c r="F215" s="127">
        <v>97107572</v>
      </c>
      <c r="G215" s="127" t="s">
        <v>1856</v>
      </c>
      <c r="H215" s="187"/>
      <c r="I215" s="187"/>
      <c r="P215" t="str">
        <f t="shared" si="29"/>
        <v>MAROLLES53</v>
      </c>
      <c r="Q215" t="str">
        <f t="shared" si="24"/>
        <v>PLÉ</v>
      </c>
      <c r="R215" t="str">
        <f t="shared" si="25"/>
        <v>Nathalie</v>
      </c>
      <c r="S215">
        <f t="shared" si="26"/>
        <v>500</v>
      </c>
      <c r="T215">
        <f t="shared" si="27"/>
        <v>97107572</v>
      </c>
      <c r="U215" t="s">
        <v>1591</v>
      </c>
    </row>
    <row r="216" spans="1:21" hidden="1" x14ac:dyDescent="0.2">
      <c r="A216" s="186" t="s">
        <v>146</v>
      </c>
      <c r="B216" s="128">
        <f t="shared" si="30"/>
        <v>54</v>
      </c>
      <c r="C216" s="128" t="s">
        <v>1601</v>
      </c>
      <c r="D216" s="128" t="s">
        <v>1607</v>
      </c>
      <c r="E216" s="127">
        <v>500</v>
      </c>
      <c r="F216" s="127">
        <v>97108401</v>
      </c>
      <c r="G216" s="127" t="s">
        <v>1856</v>
      </c>
      <c r="H216" s="187"/>
      <c r="I216" s="187"/>
      <c r="P216" t="str">
        <f t="shared" si="29"/>
        <v>MAROLLES54</v>
      </c>
      <c r="Q216" t="str">
        <f t="shared" si="24"/>
        <v>POILPOT</v>
      </c>
      <c r="R216" t="str">
        <f t="shared" si="25"/>
        <v>Seylan</v>
      </c>
      <c r="S216">
        <f t="shared" si="26"/>
        <v>500</v>
      </c>
      <c r="T216">
        <f t="shared" si="27"/>
        <v>97108401</v>
      </c>
      <c r="U216" t="s">
        <v>1615</v>
      </c>
    </row>
    <row r="217" spans="1:21" hidden="1" x14ac:dyDescent="0.2">
      <c r="A217" s="186" t="s">
        <v>146</v>
      </c>
      <c r="B217" s="128">
        <f t="shared" si="30"/>
        <v>55</v>
      </c>
      <c r="C217" s="128" t="s">
        <v>829</v>
      </c>
      <c r="D217" s="128" t="s">
        <v>295</v>
      </c>
      <c r="E217" s="127">
        <v>618</v>
      </c>
      <c r="F217" s="127">
        <v>87417974</v>
      </c>
      <c r="G217" s="127" t="s">
        <v>1643</v>
      </c>
      <c r="H217" s="187"/>
      <c r="I217" s="187"/>
      <c r="P217" t="str">
        <f t="shared" si="29"/>
        <v>MAROLLES55</v>
      </c>
      <c r="Q217" t="str">
        <f t="shared" si="24"/>
        <v>PRAYER</v>
      </c>
      <c r="R217" t="str">
        <f t="shared" si="25"/>
        <v>Pascal</v>
      </c>
      <c r="S217">
        <f t="shared" si="26"/>
        <v>618</v>
      </c>
      <c r="T217">
        <f t="shared" si="27"/>
        <v>87417974</v>
      </c>
      <c r="U217" t="s">
        <v>891</v>
      </c>
    </row>
    <row r="218" spans="1:21" hidden="1" x14ac:dyDescent="0.2">
      <c r="A218" s="186" t="s">
        <v>146</v>
      </c>
      <c r="B218" s="128">
        <f t="shared" si="30"/>
        <v>56</v>
      </c>
      <c r="C218" s="128" t="s">
        <v>1803</v>
      </c>
      <c r="D218" s="128" t="s">
        <v>1804</v>
      </c>
      <c r="E218" s="127">
        <v>500</v>
      </c>
      <c r="F218" s="127">
        <v>55334911</v>
      </c>
      <c r="G218" s="127" t="s">
        <v>1643</v>
      </c>
      <c r="H218" s="187"/>
      <c r="I218" s="187"/>
      <c r="P218" t="str">
        <f t="shared" si="29"/>
        <v>MAROLLES56</v>
      </c>
      <c r="Q218" t="str">
        <f t="shared" si="24"/>
        <v>ROUILLARD</v>
      </c>
      <c r="R218" t="str">
        <f t="shared" si="25"/>
        <v>Fabien</v>
      </c>
      <c r="S218">
        <f t="shared" si="26"/>
        <v>500</v>
      </c>
      <c r="T218">
        <f t="shared" si="27"/>
        <v>55334911</v>
      </c>
      <c r="U218" t="s">
        <v>1830</v>
      </c>
    </row>
    <row r="219" spans="1:21" hidden="1" x14ac:dyDescent="0.2">
      <c r="A219" s="186" t="s">
        <v>146</v>
      </c>
      <c r="B219" s="128">
        <f t="shared" si="30"/>
        <v>57</v>
      </c>
      <c r="C219" s="128" t="s">
        <v>1170</v>
      </c>
      <c r="D219" s="128" t="s">
        <v>352</v>
      </c>
      <c r="E219" s="127">
        <v>500</v>
      </c>
      <c r="F219" s="127">
        <v>97054977</v>
      </c>
      <c r="G219" s="127" t="s">
        <v>1856</v>
      </c>
      <c r="H219" s="187"/>
      <c r="I219" s="187"/>
      <c r="P219" t="str">
        <f t="shared" si="29"/>
        <v>MAROLLES57</v>
      </c>
      <c r="Q219" t="str">
        <f t="shared" si="24"/>
        <v>SCHMITT</v>
      </c>
      <c r="R219" t="str">
        <f t="shared" si="25"/>
        <v>Jade</v>
      </c>
      <c r="S219">
        <f t="shared" si="26"/>
        <v>500</v>
      </c>
      <c r="T219">
        <f t="shared" si="27"/>
        <v>97054977</v>
      </c>
      <c r="U219" t="s">
        <v>1616</v>
      </c>
    </row>
    <row r="220" spans="1:21" hidden="1" x14ac:dyDescent="0.2">
      <c r="A220" s="186" t="s">
        <v>146</v>
      </c>
      <c r="B220" s="128">
        <f t="shared" si="30"/>
        <v>58</v>
      </c>
      <c r="C220" s="128" t="s">
        <v>1170</v>
      </c>
      <c r="D220" s="128" t="s">
        <v>983</v>
      </c>
      <c r="E220" s="127">
        <v>500</v>
      </c>
      <c r="F220" s="127">
        <v>97102263</v>
      </c>
      <c r="G220" s="127" t="s">
        <v>1643</v>
      </c>
      <c r="H220" s="187"/>
      <c r="I220" s="187"/>
      <c r="P220" t="str">
        <f t="shared" si="29"/>
        <v>MAROLLES58</v>
      </c>
      <c r="Q220" t="str">
        <f t="shared" si="24"/>
        <v>SCHMITT</v>
      </c>
      <c r="R220" t="str">
        <f t="shared" si="25"/>
        <v>Sebastien</v>
      </c>
      <c r="S220">
        <f t="shared" si="26"/>
        <v>500</v>
      </c>
      <c r="T220">
        <f t="shared" si="27"/>
        <v>97102263</v>
      </c>
      <c r="U220" t="s">
        <v>1387</v>
      </c>
    </row>
    <row r="221" spans="1:21" hidden="1" x14ac:dyDescent="0.2">
      <c r="A221" s="186" t="s">
        <v>146</v>
      </c>
      <c r="B221" s="128">
        <f t="shared" si="30"/>
        <v>59</v>
      </c>
      <c r="C221" s="128" t="s">
        <v>1869</v>
      </c>
      <c r="D221" s="128" t="s">
        <v>1870</v>
      </c>
      <c r="E221" s="127">
        <v>500</v>
      </c>
      <c r="F221" s="127">
        <v>97111722</v>
      </c>
      <c r="G221" s="127" t="s">
        <v>1643</v>
      </c>
      <c r="H221" s="187"/>
      <c r="I221" s="187"/>
      <c r="P221" t="str">
        <f t="shared" si="29"/>
        <v>MAROLLES59</v>
      </c>
      <c r="Q221" t="str">
        <f t="shared" si="24"/>
        <v>SIMARD</v>
      </c>
      <c r="R221" t="str">
        <f t="shared" si="25"/>
        <v>Noa</v>
      </c>
      <c r="S221">
        <f t="shared" si="26"/>
        <v>500</v>
      </c>
      <c r="T221">
        <f t="shared" si="27"/>
        <v>97111722</v>
      </c>
      <c r="U221" t="s">
        <v>1963</v>
      </c>
    </row>
    <row r="222" spans="1:21" hidden="1" x14ac:dyDescent="0.2">
      <c r="A222" s="186" t="s">
        <v>146</v>
      </c>
      <c r="B222" s="128">
        <f t="shared" si="30"/>
        <v>60</v>
      </c>
      <c r="C222" s="128" t="s">
        <v>671</v>
      </c>
      <c r="D222" s="128" t="s">
        <v>672</v>
      </c>
      <c r="E222" s="127">
        <v>857</v>
      </c>
      <c r="F222" s="127">
        <v>97109251</v>
      </c>
      <c r="G222" s="127" t="s">
        <v>1643</v>
      </c>
      <c r="H222" s="187"/>
      <c r="I222" s="187"/>
      <c r="P222" t="str">
        <f t="shared" si="29"/>
        <v>MAROLLES60</v>
      </c>
      <c r="Q222" t="str">
        <f t="shared" si="24"/>
        <v>SEMELAGNE</v>
      </c>
      <c r="R222" t="str">
        <f t="shared" si="25"/>
        <v>Alexis</v>
      </c>
      <c r="S222">
        <f t="shared" si="26"/>
        <v>857</v>
      </c>
      <c r="T222">
        <f t="shared" si="27"/>
        <v>97109251</v>
      </c>
      <c r="U222" t="s">
        <v>673</v>
      </c>
    </row>
    <row r="223" spans="1:21" hidden="1" x14ac:dyDescent="0.2">
      <c r="A223" s="186" t="s">
        <v>146</v>
      </c>
      <c r="B223" s="128">
        <f t="shared" si="30"/>
        <v>61</v>
      </c>
      <c r="C223" s="128" t="s">
        <v>624</v>
      </c>
      <c r="D223" s="128" t="s">
        <v>627</v>
      </c>
      <c r="E223" s="127">
        <v>531</v>
      </c>
      <c r="F223" s="127">
        <v>97109252</v>
      </c>
      <c r="G223" s="127" t="s">
        <v>1643</v>
      </c>
      <c r="H223" s="187"/>
      <c r="I223" s="187"/>
      <c r="P223" t="str">
        <f t="shared" si="29"/>
        <v>MAROLLES61</v>
      </c>
      <c r="Q223" t="str">
        <f t="shared" si="24"/>
        <v>SEMELAGNE-BONTOUR</v>
      </c>
      <c r="R223" t="str">
        <f t="shared" si="25"/>
        <v>Yanis</v>
      </c>
      <c r="S223">
        <f t="shared" si="26"/>
        <v>531</v>
      </c>
      <c r="T223">
        <f t="shared" si="27"/>
        <v>97109252</v>
      </c>
      <c r="U223" t="s">
        <v>631</v>
      </c>
    </row>
    <row r="224" spans="1:21" hidden="1" x14ac:dyDescent="0.2">
      <c r="A224" s="186" t="s">
        <v>146</v>
      </c>
      <c r="B224" s="128">
        <f t="shared" si="30"/>
        <v>62</v>
      </c>
      <c r="C224" s="128" t="s">
        <v>1167</v>
      </c>
      <c r="D224" s="128" t="s">
        <v>1290</v>
      </c>
      <c r="E224" s="127">
        <v>500</v>
      </c>
      <c r="F224" s="127">
        <v>97102264</v>
      </c>
      <c r="G224" s="127" t="s">
        <v>1856</v>
      </c>
      <c r="H224" s="187"/>
      <c r="I224" s="187"/>
      <c r="P224" t="str">
        <f t="shared" si="29"/>
        <v>MAROLLES62</v>
      </c>
      <c r="Q224" t="str">
        <f t="shared" si="24"/>
        <v>SHENAL</v>
      </c>
      <c r="R224" t="str">
        <f t="shared" si="25"/>
        <v>Ranjan</v>
      </c>
      <c r="S224">
        <f t="shared" si="26"/>
        <v>500</v>
      </c>
      <c r="T224">
        <f t="shared" si="27"/>
        <v>97102264</v>
      </c>
      <c r="U224" t="s">
        <v>1384</v>
      </c>
    </row>
    <row r="225" spans="1:21" hidden="1" x14ac:dyDescent="0.2">
      <c r="A225" s="186" t="s">
        <v>146</v>
      </c>
      <c r="B225" s="128">
        <f t="shared" si="30"/>
        <v>63</v>
      </c>
      <c r="C225" s="128" t="s">
        <v>1799</v>
      </c>
      <c r="D225" s="128" t="s">
        <v>293</v>
      </c>
      <c r="E225" s="127">
        <v>500</v>
      </c>
      <c r="F225" s="127">
        <v>97109250</v>
      </c>
      <c r="G225" s="127" t="s">
        <v>1643</v>
      </c>
      <c r="H225" s="187"/>
      <c r="I225" s="187"/>
      <c r="P225" t="str">
        <f t="shared" si="29"/>
        <v>MAROLLES63</v>
      </c>
      <c r="Q225" t="str">
        <f t="shared" si="24"/>
        <v>ZHENG</v>
      </c>
      <c r="R225" t="str">
        <f t="shared" si="25"/>
        <v>Christophe</v>
      </c>
      <c r="S225">
        <f t="shared" si="26"/>
        <v>500</v>
      </c>
      <c r="T225">
        <f t="shared" si="27"/>
        <v>97109250</v>
      </c>
      <c r="U225" t="s">
        <v>1831</v>
      </c>
    </row>
    <row r="226" spans="1:21" hidden="1" x14ac:dyDescent="0.2">
      <c r="A226" s="186" t="s">
        <v>134</v>
      </c>
      <c r="B226" s="128">
        <f t="shared" ref="B226:B291" si="31">IF(A226=A225,B225+1,1)</f>
        <v>1</v>
      </c>
      <c r="C226" s="128" t="s">
        <v>1207</v>
      </c>
      <c r="D226" s="128" t="s">
        <v>317</v>
      </c>
      <c r="E226" s="127">
        <v>500</v>
      </c>
      <c r="F226" s="127">
        <v>97103247</v>
      </c>
      <c r="G226" s="127" t="s">
        <v>1856</v>
      </c>
      <c r="H226" s="187"/>
      <c r="I226" s="187"/>
      <c r="P226" t="str">
        <f t="shared" ref="P226:P291" si="32">A226&amp;B226</f>
        <v>MELUN1</v>
      </c>
      <c r="Q226" t="str">
        <f t="shared" si="24"/>
        <v>AMEURLAIN</v>
      </c>
      <c r="R226" t="str">
        <f t="shared" si="25"/>
        <v>Thomas</v>
      </c>
      <c r="S226">
        <f t="shared" si="26"/>
        <v>500</v>
      </c>
      <c r="T226">
        <f t="shared" si="27"/>
        <v>97103247</v>
      </c>
      <c r="U226" t="s">
        <v>1430</v>
      </c>
    </row>
    <row r="227" spans="1:21" hidden="1" x14ac:dyDescent="0.2">
      <c r="A227" s="186" t="s">
        <v>134</v>
      </c>
      <c r="B227" s="128">
        <f t="shared" si="31"/>
        <v>2</v>
      </c>
      <c r="C227" s="128" t="s">
        <v>2065</v>
      </c>
      <c r="D227" s="128" t="s">
        <v>2066</v>
      </c>
      <c r="E227" s="127">
        <v>500</v>
      </c>
      <c r="F227" s="127">
        <v>97114072</v>
      </c>
      <c r="G227" s="127" t="s">
        <v>1643</v>
      </c>
      <c r="H227" s="187"/>
      <c r="I227" s="187"/>
      <c r="P227" t="str">
        <f t="shared" si="32"/>
        <v>MELUN2</v>
      </c>
      <c r="Q227" t="str">
        <f t="shared" si="24"/>
        <v>ASRI</v>
      </c>
      <c r="R227" t="str">
        <f t="shared" si="25"/>
        <v>Youcef</v>
      </c>
      <c r="S227">
        <f t="shared" si="26"/>
        <v>500</v>
      </c>
      <c r="U227" t="s">
        <v>2067</v>
      </c>
    </row>
    <row r="228" spans="1:21" hidden="1" x14ac:dyDescent="0.2">
      <c r="A228" s="186" t="s">
        <v>134</v>
      </c>
      <c r="B228" s="128">
        <f t="shared" si="31"/>
        <v>3</v>
      </c>
      <c r="C228" s="128" t="s">
        <v>1194</v>
      </c>
      <c r="D228" s="128" t="s">
        <v>1308</v>
      </c>
      <c r="E228" s="127">
        <v>500</v>
      </c>
      <c r="F228" s="127">
        <v>97103248</v>
      </c>
      <c r="G228" s="127" t="s">
        <v>1856</v>
      </c>
      <c r="H228" s="187"/>
      <c r="I228" s="187"/>
      <c r="P228" t="str">
        <f t="shared" si="32"/>
        <v>MELUN3</v>
      </c>
      <c r="Q228" t="str">
        <f t="shared" si="24"/>
        <v>AZIZ</v>
      </c>
      <c r="R228" t="str">
        <f t="shared" si="25"/>
        <v>Nohlan</v>
      </c>
      <c r="S228">
        <f t="shared" si="26"/>
        <v>500</v>
      </c>
      <c r="T228">
        <f t="shared" si="27"/>
        <v>97103248</v>
      </c>
      <c r="U228" t="s">
        <v>1415</v>
      </c>
    </row>
    <row r="229" spans="1:21" hidden="1" x14ac:dyDescent="0.2">
      <c r="A229" s="186" t="s">
        <v>134</v>
      </c>
      <c r="B229" s="128">
        <f t="shared" si="31"/>
        <v>4</v>
      </c>
      <c r="C229" s="128" t="s">
        <v>1195</v>
      </c>
      <c r="D229" s="128" t="s">
        <v>719</v>
      </c>
      <c r="E229" s="127">
        <v>500</v>
      </c>
      <c r="F229" s="127">
        <v>97103249</v>
      </c>
      <c r="G229" s="127" t="s">
        <v>1856</v>
      </c>
      <c r="H229" s="187"/>
      <c r="I229" s="187"/>
      <c r="P229" t="str">
        <f t="shared" si="32"/>
        <v>MELUN4</v>
      </c>
      <c r="Q229" t="str">
        <f t="shared" si="24"/>
        <v>BARREIROS</v>
      </c>
      <c r="R229" t="str">
        <f t="shared" si="25"/>
        <v>Edouard</v>
      </c>
      <c r="S229">
        <f t="shared" si="26"/>
        <v>500</v>
      </c>
      <c r="T229">
        <f t="shared" si="27"/>
        <v>97103249</v>
      </c>
      <c r="U229" t="s">
        <v>1416</v>
      </c>
    </row>
    <row r="230" spans="1:21" hidden="1" x14ac:dyDescent="0.2">
      <c r="A230" s="186" t="s">
        <v>134</v>
      </c>
      <c r="B230" s="128">
        <f t="shared" si="31"/>
        <v>5</v>
      </c>
      <c r="C230" s="128" t="s">
        <v>2034</v>
      </c>
      <c r="D230" s="128" t="s">
        <v>2035</v>
      </c>
      <c r="E230" s="127">
        <v>500</v>
      </c>
      <c r="F230" s="127">
        <v>97113269</v>
      </c>
      <c r="G230" s="127" t="s">
        <v>1643</v>
      </c>
      <c r="H230" s="187"/>
      <c r="I230" s="187"/>
      <c r="P230" t="str">
        <f t="shared" si="32"/>
        <v>MELUN5</v>
      </c>
      <c r="Q230" t="str">
        <f t="shared" si="24"/>
        <v>BAZIZ</v>
      </c>
      <c r="R230" t="str">
        <f t="shared" si="25"/>
        <v>Nabil</v>
      </c>
      <c r="S230">
        <f t="shared" si="26"/>
        <v>500</v>
      </c>
      <c r="T230">
        <f t="shared" si="27"/>
        <v>97113269</v>
      </c>
      <c r="U230" t="s">
        <v>2044</v>
      </c>
    </row>
    <row r="231" spans="1:21" hidden="1" x14ac:dyDescent="0.2">
      <c r="A231" s="186" t="s">
        <v>134</v>
      </c>
      <c r="B231" s="128">
        <f t="shared" si="31"/>
        <v>6</v>
      </c>
      <c r="C231" s="128" t="s">
        <v>74</v>
      </c>
      <c r="D231" s="128" t="s">
        <v>310</v>
      </c>
      <c r="E231" s="127">
        <v>816</v>
      </c>
      <c r="F231" s="127">
        <v>87425016</v>
      </c>
      <c r="G231" s="127" t="s">
        <v>1856</v>
      </c>
      <c r="H231" s="187"/>
      <c r="I231" s="187"/>
      <c r="P231" t="str">
        <f t="shared" si="32"/>
        <v>MELUN6</v>
      </c>
      <c r="Q231" t="str">
        <f t="shared" si="24"/>
        <v>BECKER</v>
      </c>
      <c r="R231" t="str">
        <f t="shared" si="25"/>
        <v>Alain</v>
      </c>
      <c r="S231">
        <f t="shared" si="26"/>
        <v>816</v>
      </c>
      <c r="T231">
        <f t="shared" si="27"/>
        <v>87425016</v>
      </c>
      <c r="U231" t="s">
        <v>726</v>
      </c>
    </row>
    <row r="232" spans="1:21" hidden="1" x14ac:dyDescent="0.2">
      <c r="A232" s="186" t="s">
        <v>134</v>
      </c>
      <c r="B232" s="128">
        <f t="shared" si="31"/>
        <v>7</v>
      </c>
      <c r="C232" s="128" t="s">
        <v>74</v>
      </c>
      <c r="D232" s="128" t="s">
        <v>319</v>
      </c>
      <c r="E232" s="127">
        <v>500</v>
      </c>
      <c r="F232" s="127">
        <v>55329426</v>
      </c>
      <c r="G232" s="127" t="s">
        <v>1856</v>
      </c>
      <c r="H232" s="187"/>
      <c r="I232" s="187"/>
      <c r="P232" t="str">
        <f t="shared" si="32"/>
        <v>MELUN7</v>
      </c>
      <c r="Q232" t="str">
        <f t="shared" si="24"/>
        <v>BECKER</v>
      </c>
      <c r="R232" t="str">
        <f t="shared" si="25"/>
        <v>Didier</v>
      </c>
      <c r="S232">
        <f t="shared" si="26"/>
        <v>500</v>
      </c>
      <c r="T232">
        <f t="shared" si="27"/>
        <v>55329426</v>
      </c>
      <c r="U232" t="s">
        <v>196</v>
      </c>
    </row>
    <row r="233" spans="1:21" hidden="1" x14ac:dyDescent="0.2">
      <c r="A233" s="186" t="s">
        <v>134</v>
      </c>
      <c r="B233" s="128">
        <f t="shared" si="31"/>
        <v>8</v>
      </c>
      <c r="C233" s="128" t="s">
        <v>927</v>
      </c>
      <c r="D233" s="128" t="s">
        <v>585</v>
      </c>
      <c r="E233" s="127">
        <v>500</v>
      </c>
      <c r="F233" s="127">
        <v>97102683</v>
      </c>
      <c r="G233" s="127" t="s">
        <v>1643</v>
      </c>
      <c r="H233" s="187"/>
      <c r="I233" s="187"/>
      <c r="P233" t="str">
        <f t="shared" si="32"/>
        <v>MELUN8</v>
      </c>
      <c r="Q233" t="str">
        <f t="shared" si="24"/>
        <v>BENABDALLAH CHARRIER</v>
      </c>
      <c r="R233" t="str">
        <f t="shared" si="25"/>
        <v>Sacha</v>
      </c>
      <c r="S233">
        <f t="shared" si="26"/>
        <v>500</v>
      </c>
      <c r="T233">
        <f t="shared" si="27"/>
        <v>97102683</v>
      </c>
      <c r="U233" t="s">
        <v>1440</v>
      </c>
    </row>
    <row r="234" spans="1:21" hidden="1" x14ac:dyDescent="0.2">
      <c r="A234" s="186" t="s">
        <v>134</v>
      </c>
      <c r="B234" s="128">
        <f t="shared" si="31"/>
        <v>9</v>
      </c>
      <c r="C234" s="128" t="s">
        <v>927</v>
      </c>
      <c r="D234" s="128" t="s">
        <v>943</v>
      </c>
      <c r="E234" s="127">
        <v>524</v>
      </c>
      <c r="F234" s="127">
        <v>97094843</v>
      </c>
      <c r="G234" s="127" t="s">
        <v>1643</v>
      </c>
      <c r="H234" s="187"/>
      <c r="I234" s="187"/>
      <c r="P234" t="str">
        <f t="shared" si="32"/>
        <v>MELUN9</v>
      </c>
      <c r="Q234" t="str">
        <f t="shared" si="24"/>
        <v>BENABDALLAH CHARRIER</v>
      </c>
      <c r="R234" t="str">
        <f t="shared" si="25"/>
        <v>Swan</v>
      </c>
      <c r="S234">
        <f t="shared" si="26"/>
        <v>524</v>
      </c>
      <c r="T234">
        <f t="shared" si="27"/>
        <v>97094843</v>
      </c>
      <c r="U234" t="s">
        <v>957</v>
      </c>
    </row>
    <row r="235" spans="1:21" hidden="1" x14ac:dyDescent="0.2">
      <c r="A235" s="186" t="s">
        <v>134</v>
      </c>
      <c r="B235" s="128">
        <f t="shared" si="31"/>
        <v>10</v>
      </c>
      <c r="C235" s="128" t="s">
        <v>75</v>
      </c>
      <c r="D235" s="128" t="s">
        <v>315</v>
      </c>
      <c r="E235" s="127">
        <v>587</v>
      </c>
      <c r="F235" s="127">
        <v>87428737</v>
      </c>
      <c r="G235" s="127" t="s">
        <v>1856</v>
      </c>
      <c r="H235" s="187"/>
      <c r="I235" s="187"/>
      <c r="P235" t="str">
        <f t="shared" si="32"/>
        <v>MELUN10</v>
      </c>
      <c r="Q235" t="str">
        <f t="shared" si="24"/>
        <v>BERSOT</v>
      </c>
      <c r="R235" t="str">
        <f t="shared" si="25"/>
        <v>Antoine</v>
      </c>
      <c r="S235">
        <f t="shared" si="26"/>
        <v>587</v>
      </c>
      <c r="T235">
        <f t="shared" si="27"/>
        <v>87428737</v>
      </c>
      <c r="U235" t="s">
        <v>616</v>
      </c>
    </row>
    <row r="236" spans="1:21" hidden="1" x14ac:dyDescent="0.2">
      <c r="A236" s="186" t="s">
        <v>134</v>
      </c>
      <c r="B236" s="128">
        <f t="shared" si="31"/>
        <v>11</v>
      </c>
      <c r="C236" s="128" t="s">
        <v>1005</v>
      </c>
      <c r="D236" s="128" t="s">
        <v>1012</v>
      </c>
      <c r="E236" s="127">
        <v>824</v>
      </c>
      <c r="F236" s="127">
        <v>97099879</v>
      </c>
      <c r="G236" s="127" t="s">
        <v>1643</v>
      </c>
      <c r="H236" s="187"/>
      <c r="I236" s="187"/>
      <c r="P236" t="str">
        <f t="shared" si="32"/>
        <v>MELUN11</v>
      </c>
      <c r="Q236" t="str">
        <f t="shared" si="24"/>
        <v>BISPO</v>
      </c>
      <c r="R236" t="str">
        <f t="shared" si="25"/>
        <v>Yasin</v>
      </c>
      <c r="S236">
        <f t="shared" si="26"/>
        <v>824</v>
      </c>
      <c r="T236">
        <f t="shared" si="27"/>
        <v>97099879</v>
      </c>
      <c r="U236" t="s">
        <v>1018</v>
      </c>
    </row>
    <row r="237" spans="1:21" hidden="1" x14ac:dyDescent="0.2">
      <c r="A237" s="186" t="s">
        <v>134</v>
      </c>
      <c r="B237" s="128">
        <f t="shared" si="31"/>
        <v>12</v>
      </c>
      <c r="C237" s="128" t="s">
        <v>845</v>
      </c>
      <c r="D237" s="128" t="s">
        <v>870</v>
      </c>
      <c r="E237" s="127">
        <v>500</v>
      </c>
      <c r="F237" s="127">
        <v>97058808</v>
      </c>
      <c r="G237" s="127" t="s">
        <v>1856</v>
      </c>
      <c r="H237" s="187"/>
      <c r="I237" s="187"/>
      <c r="P237" t="str">
        <f t="shared" si="32"/>
        <v>MELUN12</v>
      </c>
      <c r="Q237" t="str">
        <f t="shared" si="24"/>
        <v>BLONDELOT</v>
      </c>
      <c r="R237" t="str">
        <f t="shared" si="25"/>
        <v>Mahe</v>
      </c>
      <c r="S237">
        <f t="shared" si="26"/>
        <v>500</v>
      </c>
      <c r="T237">
        <f t="shared" si="27"/>
        <v>97058808</v>
      </c>
      <c r="U237" t="s">
        <v>904</v>
      </c>
    </row>
    <row r="238" spans="1:21" hidden="1" x14ac:dyDescent="0.2">
      <c r="A238" s="186" t="s">
        <v>134</v>
      </c>
      <c r="B238" s="128">
        <f t="shared" si="31"/>
        <v>13</v>
      </c>
      <c r="C238" s="128" t="s">
        <v>1219</v>
      </c>
      <c r="D238" s="128" t="s">
        <v>320</v>
      </c>
      <c r="E238" s="127">
        <v>500</v>
      </c>
      <c r="F238" s="127">
        <v>87434004</v>
      </c>
      <c r="G238" s="127" t="s">
        <v>1856</v>
      </c>
      <c r="H238" s="187"/>
      <c r="I238" s="187"/>
      <c r="P238" t="str">
        <f t="shared" si="32"/>
        <v>MELUN13</v>
      </c>
      <c r="Q238" t="str">
        <f t="shared" si="24"/>
        <v>BOTEREL</v>
      </c>
      <c r="R238" t="str">
        <f t="shared" si="25"/>
        <v>Mathieu</v>
      </c>
      <c r="S238">
        <f t="shared" si="26"/>
        <v>500</v>
      </c>
      <c r="T238">
        <f t="shared" si="27"/>
        <v>87434004</v>
      </c>
      <c r="U238" t="s">
        <v>1446</v>
      </c>
    </row>
    <row r="239" spans="1:21" hidden="1" x14ac:dyDescent="0.2">
      <c r="A239" s="186" t="s">
        <v>134</v>
      </c>
      <c r="B239" s="128">
        <f t="shared" si="31"/>
        <v>14</v>
      </c>
      <c r="C239" s="128" t="s">
        <v>2028</v>
      </c>
      <c r="D239" s="128" t="s">
        <v>2029</v>
      </c>
      <c r="E239" s="127">
        <v>500</v>
      </c>
      <c r="F239" s="127">
        <v>97055207</v>
      </c>
      <c r="G239" s="127" t="s">
        <v>1643</v>
      </c>
      <c r="H239" s="187"/>
      <c r="I239" s="187"/>
      <c r="P239" t="str">
        <f t="shared" si="32"/>
        <v>MELUN14</v>
      </c>
      <c r="Q239" t="str">
        <f t="shared" si="24"/>
        <v>BOULAND</v>
      </c>
      <c r="R239" t="str">
        <f t="shared" si="25"/>
        <v>Alméris</v>
      </c>
      <c r="S239">
        <f t="shared" si="26"/>
        <v>500</v>
      </c>
      <c r="T239">
        <f t="shared" si="27"/>
        <v>97055207</v>
      </c>
      <c r="U239" t="s">
        <v>2045</v>
      </c>
    </row>
    <row r="240" spans="1:21" hidden="1" x14ac:dyDescent="0.2">
      <c r="A240" s="186" t="s">
        <v>134</v>
      </c>
      <c r="B240" s="128">
        <f t="shared" si="31"/>
        <v>15</v>
      </c>
      <c r="C240" s="128" t="s">
        <v>1211</v>
      </c>
      <c r="D240" s="128" t="s">
        <v>1320</v>
      </c>
      <c r="E240" s="127">
        <v>500</v>
      </c>
      <c r="F240" s="127">
        <v>97104966</v>
      </c>
      <c r="G240" s="127" t="s">
        <v>1856</v>
      </c>
      <c r="H240" s="187"/>
      <c r="I240" s="187"/>
      <c r="P240" t="str">
        <f t="shared" si="32"/>
        <v>MELUN15</v>
      </c>
      <c r="Q240" t="str">
        <f t="shared" si="24"/>
        <v>BOUTET BARRAL</v>
      </c>
      <c r="R240" t="str">
        <f t="shared" si="25"/>
        <v>Celiann</v>
      </c>
      <c r="S240">
        <f t="shared" si="26"/>
        <v>500</v>
      </c>
      <c r="T240">
        <f t="shared" si="27"/>
        <v>97104966</v>
      </c>
      <c r="U240" t="s">
        <v>1435</v>
      </c>
    </row>
    <row r="241" spans="1:21" hidden="1" x14ac:dyDescent="0.2">
      <c r="A241" s="186" t="s">
        <v>134</v>
      </c>
      <c r="B241" s="128">
        <f t="shared" si="31"/>
        <v>16</v>
      </c>
      <c r="C241" s="128" t="s">
        <v>746</v>
      </c>
      <c r="D241" s="128" t="s">
        <v>313</v>
      </c>
      <c r="E241" s="127">
        <v>500</v>
      </c>
      <c r="F241" s="127">
        <v>97088068</v>
      </c>
      <c r="G241" s="127" t="s">
        <v>1856</v>
      </c>
      <c r="H241" s="187"/>
      <c r="I241" s="187"/>
      <c r="P241" t="str">
        <f t="shared" si="32"/>
        <v>MELUN16</v>
      </c>
      <c r="Q241" t="str">
        <f t="shared" si="24"/>
        <v>BRICOUT</v>
      </c>
      <c r="R241" t="str">
        <f t="shared" si="25"/>
        <v>Emmanuel</v>
      </c>
      <c r="S241">
        <f t="shared" si="26"/>
        <v>500</v>
      </c>
      <c r="T241">
        <f t="shared" si="27"/>
        <v>97088068</v>
      </c>
      <c r="U241" t="s">
        <v>779</v>
      </c>
    </row>
    <row r="242" spans="1:21" hidden="1" x14ac:dyDescent="0.2">
      <c r="A242" s="186" t="s">
        <v>134</v>
      </c>
      <c r="B242" s="128">
        <f t="shared" si="31"/>
        <v>17</v>
      </c>
      <c r="C242" s="128" t="s">
        <v>1204</v>
      </c>
      <c r="D242" s="128" t="s">
        <v>1315</v>
      </c>
      <c r="E242" s="127">
        <v>500</v>
      </c>
      <c r="F242" s="127">
        <v>97103250</v>
      </c>
      <c r="G242" s="127" t="s">
        <v>1643</v>
      </c>
      <c r="H242" s="187"/>
      <c r="I242" s="187"/>
      <c r="P242" t="str">
        <f t="shared" si="32"/>
        <v>MELUN17</v>
      </c>
      <c r="Q242" t="str">
        <f t="shared" si="24"/>
        <v>BUART</v>
      </c>
      <c r="R242" t="str">
        <f t="shared" si="25"/>
        <v>Jean-Marie</v>
      </c>
      <c r="S242">
        <f t="shared" si="26"/>
        <v>500</v>
      </c>
      <c r="T242">
        <f t="shared" si="27"/>
        <v>97103250</v>
      </c>
      <c r="U242" t="s">
        <v>1426</v>
      </c>
    </row>
    <row r="243" spans="1:21" hidden="1" x14ac:dyDescent="0.2">
      <c r="A243" s="188" t="s">
        <v>134</v>
      </c>
      <c r="B243" s="128">
        <f t="shared" si="31"/>
        <v>18</v>
      </c>
      <c r="C243" s="189" t="s">
        <v>514</v>
      </c>
      <c r="D243" s="189" t="s">
        <v>515</v>
      </c>
      <c r="E243" s="127">
        <v>658</v>
      </c>
      <c r="F243" s="189">
        <v>97067620</v>
      </c>
      <c r="G243" s="127" t="s">
        <v>1643</v>
      </c>
      <c r="H243" s="187"/>
      <c r="I243" s="187"/>
      <c r="P243" t="str">
        <f t="shared" si="32"/>
        <v>MELUN18</v>
      </c>
      <c r="Q243" t="str">
        <f t="shared" si="24"/>
        <v>CEBALLOS</v>
      </c>
      <c r="R243" t="str">
        <f t="shared" si="25"/>
        <v>Lise</v>
      </c>
      <c r="S243">
        <f t="shared" si="26"/>
        <v>658</v>
      </c>
      <c r="T243">
        <f t="shared" si="27"/>
        <v>97067620</v>
      </c>
      <c r="U243" t="s">
        <v>516</v>
      </c>
    </row>
    <row r="244" spans="1:21" hidden="1" x14ac:dyDescent="0.2">
      <c r="A244" s="186" t="s">
        <v>134</v>
      </c>
      <c r="B244" s="128">
        <f t="shared" si="31"/>
        <v>19</v>
      </c>
      <c r="C244" s="128" t="s">
        <v>118</v>
      </c>
      <c r="D244" s="128" t="s">
        <v>799</v>
      </c>
      <c r="E244" s="127">
        <v>1023</v>
      </c>
      <c r="F244" s="127">
        <v>87422280</v>
      </c>
      <c r="G244" s="127" t="s">
        <v>1643</v>
      </c>
      <c r="H244" s="187"/>
      <c r="I244" s="187"/>
      <c r="P244" t="str">
        <f t="shared" si="32"/>
        <v>MELUN19</v>
      </c>
      <c r="Q244" t="str">
        <f t="shared" si="24"/>
        <v>CHABRAISON</v>
      </c>
      <c r="R244" t="str">
        <f t="shared" si="25"/>
        <v>Guenael</v>
      </c>
      <c r="S244">
        <f t="shared" si="26"/>
        <v>1023</v>
      </c>
      <c r="T244">
        <f t="shared" si="27"/>
        <v>87422280</v>
      </c>
      <c r="U244" t="s">
        <v>806</v>
      </c>
    </row>
    <row r="245" spans="1:21" hidden="1" x14ac:dyDescent="0.2">
      <c r="A245" s="186" t="s">
        <v>134</v>
      </c>
      <c r="B245" s="128">
        <f t="shared" si="31"/>
        <v>20</v>
      </c>
      <c r="C245" s="128" t="s">
        <v>118</v>
      </c>
      <c r="D245" s="128" t="s">
        <v>340</v>
      </c>
      <c r="E245" s="127">
        <v>712</v>
      </c>
      <c r="F245" s="127">
        <v>87422279</v>
      </c>
      <c r="G245" s="127" t="s">
        <v>1643</v>
      </c>
      <c r="H245" s="187"/>
      <c r="I245" s="187"/>
      <c r="P245" t="str">
        <f t="shared" si="32"/>
        <v>MELUN20</v>
      </c>
      <c r="Q245" t="str">
        <f t="shared" si="24"/>
        <v>CHABRAISON</v>
      </c>
      <c r="R245" t="str">
        <f t="shared" si="25"/>
        <v>Stevan</v>
      </c>
      <c r="S245">
        <f t="shared" si="26"/>
        <v>712</v>
      </c>
      <c r="T245">
        <f t="shared" si="27"/>
        <v>87422279</v>
      </c>
      <c r="U245" t="s">
        <v>536</v>
      </c>
    </row>
    <row r="246" spans="1:21" hidden="1" x14ac:dyDescent="0.2">
      <c r="A246" s="186" t="s">
        <v>134</v>
      </c>
      <c r="B246" s="128">
        <f t="shared" si="31"/>
        <v>21</v>
      </c>
      <c r="C246" s="128" t="s">
        <v>1526</v>
      </c>
      <c r="D246" s="128" t="s">
        <v>761</v>
      </c>
      <c r="E246" s="127">
        <v>500</v>
      </c>
      <c r="F246" s="127">
        <v>97106158</v>
      </c>
      <c r="G246" s="127" t="s">
        <v>1856</v>
      </c>
      <c r="H246" s="187"/>
      <c r="I246" s="187"/>
      <c r="P246" t="str">
        <f t="shared" si="32"/>
        <v>MELUN21</v>
      </c>
      <c r="Q246" t="str">
        <f t="shared" si="24"/>
        <v>CHALUPKA</v>
      </c>
      <c r="R246" t="str">
        <f t="shared" si="25"/>
        <v>Mathias</v>
      </c>
      <c r="S246">
        <f t="shared" si="26"/>
        <v>500</v>
      </c>
      <c r="T246">
        <f t="shared" si="27"/>
        <v>97106158</v>
      </c>
      <c r="U246" t="s">
        <v>1570</v>
      </c>
    </row>
    <row r="247" spans="1:21" hidden="1" x14ac:dyDescent="0.2">
      <c r="A247" s="186" t="s">
        <v>134</v>
      </c>
      <c r="B247" s="128">
        <f t="shared" si="31"/>
        <v>22</v>
      </c>
      <c r="C247" s="128" t="s">
        <v>1209</v>
      </c>
      <c r="D247" s="128" t="s">
        <v>1318</v>
      </c>
      <c r="E247" s="127">
        <v>517</v>
      </c>
      <c r="F247" s="127">
        <v>97103251</v>
      </c>
      <c r="G247" s="127" t="s">
        <v>1856</v>
      </c>
      <c r="H247" s="187"/>
      <c r="I247" s="187"/>
      <c r="P247" t="str">
        <f t="shared" si="32"/>
        <v>MELUN22</v>
      </c>
      <c r="Q247" t="str">
        <f t="shared" si="24"/>
        <v>CHERRIER</v>
      </c>
      <c r="R247" t="str">
        <f t="shared" si="25"/>
        <v>Lucien</v>
      </c>
      <c r="S247">
        <f t="shared" si="26"/>
        <v>517</v>
      </c>
      <c r="T247">
        <f t="shared" si="27"/>
        <v>97103251</v>
      </c>
      <c r="U247" t="s">
        <v>1432</v>
      </c>
    </row>
    <row r="248" spans="1:21" hidden="1" x14ac:dyDescent="0.2">
      <c r="A248" s="186" t="s">
        <v>134</v>
      </c>
      <c r="B248" s="128">
        <f t="shared" si="31"/>
        <v>23</v>
      </c>
      <c r="C248" s="128" t="s">
        <v>1006</v>
      </c>
      <c r="D248" s="128" t="s">
        <v>292</v>
      </c>
      <c r="E248" s="127">
        <v>500</v>
      </c>
      <c r="F248" s="127">
        <v>97099564</v>
      </c>
      <c r="G248" s="127" t="s">
        <v>1643</v>
      </c>
      <c r="H248" s="187"/>
      <c r="I248" s="187"/>
      <c r="P248" t="str">
        <f t="shared" si="32"/>
        <v>MELUN23</v>
      </c>
      <c r="Q248" t="str">
        <f t="shared" si="24"/>
        <v>CLARISSON</v>
      </c>
      <c r="R248" t="str">
        <f t="shared" si="25"/>
        <v>Philippe</v>
      </c>
      <c r="S248">
        <f t="shared" si="26"/>
        <v>500</v>
      </c>
      <c r="T248">
        <f t="shared" si="27"/>
        <v>97099564</v>
      </c>
      <c r="U248" t="s">
        <v>1020</v>
      </c>
    </row>
    <row r="249" spans="1:21" hidden="1" x14ac:dyDescent="0.2">
      <c r="A249" s="186" t="s">
        <v>134</v>
      </c>
      <c r="B249" s="128">
        <f t="shared" si="31"/>
        <v>24</v>
      </c>
      <c r="C249" s="128" t="s">
        <v>924</v>
      </c>
      <c r="D249" s="128" t="s">
        <v>941</v>
      </c>
      <c r="E249" s="127">
        <v>762</v>
      </c>
      <c r="F249" s="127">
        <v>97094845</v>
      </c>
      <c r="G249" s="127" t="s">
        <v>1643</v>
      </c>
      <c r="H249" s="187"/>
      <c r="I249" s="187"/>
      <c r="P249" t="str">
        <f t="shared" si="32"/>
        <v>MELUN24</v>
      </c>
      <c r="Q249" t="str">
        <f t="shared" si="24"/>
        <v>COMERSON</v>
      </c>
      <c r="R249" t="str">
        <f t="shared" si="25"/>
        <v>Noah</v>
      </c>
      <c r="S249">
        <f t="shared" si="26"/>
        <v>762</v>
      </c>
      <c r="T249">
        <f t="shared" si="27"/>
        <v>97094845</v>
      </c>
      <c r="U249" t="s">
        <v>954</v>
      </c>
    </row>
    <row r="250" spans="1:21" hidden="1" x14ac:dyDescent="0.2">
      <c r="A250" s="186" t="s">
        <v>134</v>
      </c>
      <c r="B250" s="128">
        <f t="shared" si="31"/>
        <v>25</v>
      </c>
      <c r="C250" s="128" t="s">
        <v>710</v>
      </c>
      <c r="D250" s="128" t="s">
        <v>719</v>
      </c>
      <c r="E250" s="127">
        <v>771</v>
      </c>
      <c r="F250" s="127">
        <v>97085014</v>
      </c>
      <c r="G250" s="127" t="s">
        <v>1643</v>
      </c>
      <c r="H250" s="187"/>
      <c r="I250" s="187"/>
      <c r="P250" t="str">
        <f t="shared" si="32"/>
        <v>MELUN25</v>
      </c>
      <c r="Q250" t="str">
        <f t="shared" si="24"/>
        <v>COURREGELONGUE</v>
      </c>
      <c r="R250" t="str">
        <f t="shared" si="25"/>
        <v>Edouard</v>
      </c>
      <c r="S250">
        <f t="shared" si="26"/>
        <v>771</v>
      </c>
      <c r="T250">
        <f t="shared" si="27"/>
        <v>97085014</v>
      </c>
      <c r="U250" t="s">
        <v>727</v>
      </c>
    </row>
    <row r="251" spans="1:21" hidden="1" x14ac:dyDescent="0.2">
      <c r="A251" s="186" t="s">
        <v>134</v>
      </c>
      <c r="B251" s="128">
        <f t="shared" si="31"/>
        <v>26</v>
      </c>
      <c r="C251" s="128" t="s">
        <v>711</v>
      </c>
      <c r="D251" s="128" t="s">
        <v>300</v>
      </c>
      <c r="E251" s="127">
        <v>1586</v>
      </c>
      <c r="F251" s="127">
        <v>55355005</v>
      </c>
      <c r="G251" s="127" t="s">
        <v>1643</v>
      </c>
      <c r="H251" s="187"/>
      <c r="I251" s="187"/>
      <c r="P251" t="str">
        <f t="shared" si="32"/>
        <v>MELUN26</v>
      </c>
      <c r="Q251" t="str">
        <f t="shared" si="24"/>
        <v>COUSSEAU</v>
      </c>
      <c r="R251" t="str">
        <f t="shared" si="25"/>
        <v>Adrien</v>
      </c>
      <c r="S251">
        <f t="shared" si="26"/>
        <v>1586</v>
      </c>
      <c r="T251">
        <f t="shared" si="27"/>
        <v>55355005</v>
      </c>
      <c r="U251" t="s">
        <v>728</v>
      </c>
    </row>
    <row r="252" spans="1:21" hidden="1" x14ac:dyDescent="0.2">
      <c r="A252" s="186" t="s">
        <v>134</v>
      </c>
      <c r="B252" s="128">
        <f t="shared" si="31"/>
        <v>27</v>
      </c>
      <c r="C252" s="128" t="s">
        <v>1221</v>
      </c>
      <c r="D252" s="128" t="s">
        <v>333</v>
      </c>
      <c r="E252" s="127">
        <v>500</v>
      </c>
      <c r="F252" s="127">
        <v>97067298</v>
      </c>
      <c r="G252" s="127" t="s">
        <v>1643</v>
      </c>
      <c r="H252" s="187"/>
      <c r="I252" s="187"/>
      <c r="P252" t="str">
        <f t="shared" si="32"/>
        <v>MELUN27</v>
      </c>
      <c r="Q252" t="str">
        <f t="shared" si="24"/>
        <v>CROIZER</v>
      </c>
      <c r="R252" t="str">
        <f t="shared" si="25"/>
        <v>Benjamin</v>
      </c>
      <c r="S252">
        <f t="shared" si="26"/>
        <v>500</v>
      </c>
      <c r="T252">
        <f t="shared" si="27"/>
        <v>97067298</v>
      </c>
      <c r="U252" t="s">
        <v>1448</v>
      </c>
    </row>
    <row r="253" spans="1:21" hidden="1" x14ac:dyDescent="0.2">
      <c r="A253" s="186" t="s">
        <v>134</v>
      </c>
      <c r="B253" s="128">
        <f t="shared" si="31"/>
        <v>28</v>
      </c>
      <c r="C253" s="128" t="s">
        <v>1198</v>
      </c>
      <c r="D253" s="128" t="s">
        <v>283</v>
      </c>
      <c r="E253" s="127">
        <v>901</v>
      </c>
      <c r="F253" s="127">
        <v>97103252</v>
      </c>
      <c r="G253" s="127" t="s">
        <v>1856</v>
      </c>
      <c r="H253" s="187"/>
      <c r="I253" s="187"/>
      <c r="P253" t="str">
        <f t="shared" si="32"/>
        <v>MELUN28</v>
      </c>
      <c r="Q253" t="str">
        <f t="shared" si="24"/>
        <v>CRUCIANI</v>
      </c>
      <c r="R253" t="str">
        <f t="shared" si="25"/>
        <v>Pierre</v>
      </c>
      <c r="S253">
        <f t="shared" si="26"/>
        <v>901</v>
      </c>
      <c r="T253">
        <f t="shared" si="27"/>
        <v>97103252</v>
      </c>
      <c r="U253" t="s">
        <v>1420</v>
      </c>
    </row>
    <row r="254" spans="1:21" hidden="1" x14ac:dyDescent="0.2">
      <c r="A254" s="186" t="s">
        <v>134</v>
      </c>
      <c r="B254" s="128">
        <f t="shared" si="31"/>
        <v>29</v>
      </c>
      <c r="C254" s="128" t="s">
        <v>843</v>
      </c>
      <c r="D254" s="128" t="s">
        <v>361</v>
      </c>
      <c r="E254" s="127">
        <v>529</v>
      </c>
      <c r="F254" s="127">
        <v>97093983</v>
      </c>
      <c r="G254" s="127" t="s">
        <v>1643</v>
      </c>
      <c r="H254" s="187"/>
      <c r="I254" s="187"/>
      <c r="P254" t="str">
        <f t="shared" si="32"/>
        <v>MELUN29</v>
      </c>
      <c r="Q254" t="str">
        <f t="shared" si="24"/>
        <v>DE LA VILLEMARQUE</v>
      </c>
      <c r="R254" t="str">
        <f t="shared" si="25"/>
        <v>Eloi</v>
      </c>
      <c r="S254">
        <f t="shared" si="26"/>
        <v>529</v>
      </c>
      <c r="T254">
        <f t="shared" si="27"/>
        <v>97093983</v>
      </c>
      <c r="U254" t="s">
        <v>901</v>
      </c>
    </row>
    <row r="255" spans="1:21" hidden="1" x14ac:dyDescent="0.2">
      <c r="A255" s="186" t="s">
        <v>134</v>
      </c>
      <c r="B255" s="128">
        <f t="shared" si="31"/>
        <v>30</v>
      </c>
      <c r="C255" s="128" t="s">
        <v>1171</v>
      </c>
      <c r="D255" s="128" t="s">
        <v>335</v>
      </c>
      <c r="E255" s="127">
        <v>500</v>
      </c>
      <c r="F255" s="127">
        <v>87419710</v>
      </c>
      <c r="G255" s="127" t="s">
        <v>1856</v>
      </c>
      <c r="H255" s="187"/>
      <c r="I255" s="187"/>
      <c r="P255" t="str">
        <f t="shared" si="32"/>
        <v>MELUN30</v>
      </c>
      <c r="Q255" t="str">
        <f t="shared" si="24"/>
        <v>DE SOUSA</v>
      </c>
      <c r="R255" t="str">
        <f t="shared" si="25"/>
        <v>Michel</v>
      </c>
      <c r="S255">
        <f t="shared" si="26"/>
        <v>500</v>
      </c>
      <c r="T255">
        <f t="shared" si="27"/>
        <v>87419710</v>
      </c>
      <c r="U255" t="s">
        <v>1654</v>
      </c>
    </row>
    <row r="256" spans="1:21" hidden="1" x14ac:dyDescent="0.2">
      <c r="A256" s="186" t="s">
        <v>134</v>
      </c>
      <c r="B256" s="128">
        <f t="shared" si="31"/>
        <v>31</v>
      </c>
      <c r="C256" s="128" t="s">
        <v>1199</v>
      </c>
      <c r="D256" s="128" t="s">
        <v>1311</v>
      </c>
      <c r="E256" s="127">
        <v>500</v>
      </c>
      <c r="F256" s="127">
        <v>97103253</v>
      </c>
      <c r="G256" s="127" t="s">
        <v>1856</v>
      </c>
      <c r="H256" s="187"/>
      <c r="I256" s="187"/>
      <c r="P256" t="str">
        <f t="shared" si="32"/>
        <v>MELUN31</v>
      </c>
      <c r="Q256" t="str">
        <f t="shared" si="24"/>
        <v>DELEAN</v>
      </c>
      <c r="R256" t="str">
        <f t="shared" si="25"/>
        <v>Isbelle</v>
      </c>
      <c r="S256">
        <f t="shared" si="26"/>
        <v>500</v>
      </c>
      <c r="T256">
        <f t="shared" si="27"/>
        <v>97103253</v>
      </c>
      <c r="U256" t="s">
        <v>1421</v>
      </c>
    </row>
    <row r="257" spans="1:21" hidden="1" x14ac:dyDescent="0.2">
      <c r="A257" s="186" t="s">
        <v>134</v>
      </c>
      <c r="B257" s="128">
        <f t="shared" si="31"/>
        <v>32</v>
      </c>
      <c r="C257" s="128" t="s">
        <v>1191</v>
      </c>
      <c r="D257" s="128" t="s">
        <v>365</v>
      </c>
      <c r="E257" s="127">
        <v>500</v>
      </c>
      <c r="F257" s="127">
        <v>97102684</v>
      </c>
      <c r="G257" s="127" t="s">
        <v>1856</v>
      </c>
      <c r="H257" s="187"/>
      <c r="I257" s="187"/>
      <c r="P257" t="str">
        <f t="shared" si="32"/>
        <v>MELUN32</v>
      </c>
      <c r="Q257" t="str">
        <f t="shared" si="24"/>
        <v>DI CARLO CEZARD</v>
      </c>
      <c r="R257" t="str">
        <f t="shared" si="25"/>
        <v>Anthony</v>
      </c>
      <c r="S257">
        <f t="shared" si="26"/>
        <v>500</v>
      </c>
      <c r="T257">
        <f t="shared" si="27"/>
        <v>97102684</v>
      </c>
      <c r="U257" t="s">
        <v>1507</v>
      </c>
    </row>
    <row r="258" spans="1:21" hidden="1" x14ac:dyDescent="0.2">
      <c r="A258" s="186" t="s">
        <v>134</v>
      </c>
      <c r="B258" s="128">
        <f t="shared" si="31"/>
        <v>33</v>
      </c>
      <c r="C258" s="128" t="s">
        <v>2030</v>
      </c>
      <c r="D258" s="128" t="s">
        <v>2031</v>
      </c>
      <c r="E258" s="127">
        <v>858</v>
      </c>
      <c r="F258" s="127">
        <v>87443607</v>
      </c>
      <c r="G258" s="127" t="s">
        <v>1643</v>
      </c>
      <c r="H258" s="187"/>
      <c r="I258" s="187"/>
      <c r="P258" t="str">
        <f t="shared" si="32"/>
        <v>MELUN33</v>
      </c>
      <c r="Q258" t="str">
        <f t="shared" si="24"/>
        <v>DOS REIS</v>
      </c>
      <c r="R258" t="str">
        <f t="shared" si="25"/>
        <v>Tiphaine</v>
      </c>
      <c r="S258">
        <f t="shared" si="26"/>
        <v>858</v>
      </c>
      <c r="T258">
        <f t="shared" si="27"/>
        <v>87443607</v>
      </c>
      <c r="U258" t="s">
        <v>2046</v>
      </c>
    </row>
    <row r="259" spans="1:21" hidden="1" x14ac:dyDescent="0.2">
      <c r="A259" s="186" t="s">
        <v>134</v>
      </c>
      <c r="B259" s="128">
        <f t="shared" si="31"/>
        <v>34</v>
      </c>
      <c r="C259" s="128" t="s">
        <v>821</v>
      </c>
      <c r="D259" s="128" t="s">
        <v>301</v>
      </c>
      <c r="E259" s="127">
        <v>500</v>
      </c>
      <c r="F259" s="127">
        <v>97093984</v>
      </c>
      <c r="G259" s="127" t="s">
        <v>1643</v>
      </c>
      <c r="H259" s="187"/>
      <c r="I259" s="187"/>
      <c r="P259" t="str">
        <f t="shared" si="32"/>
        <v>MELUN34</v>
      </c>
      <c r="Q259" t="str">
        <f t="shared" si="24"/>
        <v>DUCHENE</v>
      </c>
      <c r="R259" t="str">
        <f t="shared" si="25"/>
        <v>David</v>
      </c>
      <c r="S259">
        <f t="shared" si="26"/>
        <v>500</v>
      </c>
      <c r="T259">
        <f t="shared" si="27"/>
        <v>97093984</v>
      </c>
      <c r="U259" t="s">
        <v>882</v>
      </c>
    </row>
    <row r="260" spans="1:21" hidden="1" x14ac:dyDescent="0.2">
      <c r="A260" s="186" t="s">
        <v>134</v>
      </c>
      <c r="B260" s="128">
        <f t="shared" si="31"/>
        <v>35</v>
      </c>
      <c r="C260" s="128" t="s">
        <v>712</v>
      </c>
      <c r="D260" s="128" t="s">
        <v>569</v>
      </c>
      <c r="E260" s="127">
        <v>500</v>
      </c>
      <c r="F260" s="127">
        <v>87439952</v>
      </c>
      <c r="G260" s="127" t="s">
        <v>1856</v>
      </c>
      <c r="H260" s="187"/>
      <c r="I260" s="187"/>
      <c r="P260" t="str">
        <f t="shared" si="32"/>
        <v>MELUN35</v>
      </c>
      <c r="Q260" t="str">
        <f t="shared" ref="Q260:Q327" si="33">C260</f>
        <v>DUQUESNE</v>
      </c>
      <c r="R260" t="str">
        <f t="shared" ref="R260:R327" si="34">D260</f>
        <v>Maxence</v>
      </c>
      <c r="S260">
        <f t="shared" ref="S260:S327" si="35">E260</f>
        <v>500</v>
      </c>
      <c r="T260">
        <f t="shared" ref="T260:T327" si="36">F260</f>
        <v>87439952</v>
      </c>
      <c r="U260" t="s">
        <v>729</v>
      </c>
    </row>
    <row r="261" spans="1:21" hidden="1" x14ac:dyDescent="0.2">
      <c r="A261" s="186" t="s">
        <v>134</v>
      </c>
      <c r="B261" s="128">
        <f t="shared" si="31"/>
        <v>36</v>
      </c>
      <c r="C261" s="128" t="s">
        <v>1189</v>
      </c>
      <c r="D261" s="128" t="s">
        <v>292</v>
      </c>
      <c r="E261" s="127">
        <v>500</v>
      </c>
      <c r="F261" s="127">
        <v>97077949</v>
      </c>
      <c r="G261" s="127" t="s">
        <v>1856</v>
      </c>
      <c r="H261" s="187"/>
      <c r="I261" s="187"/>
      <c r="P261" t="str">
        <f t="shared" si="32"/>
        <v>MELUN36</v>
      </c>
      <c r="Q261" t="str">
        <f t="shared" si="33"/>
        <v>ELAN</v>
      </c>
      <c r="R261" t="str">
        <f t="shared" si="34"/>
        <v>Philippe</v>
      </c>
      <c r="S261">
        <f t="shared" si="35"/>
        <v>500</v>
      </c>
      <c r="T261">
        <f t="shared" si="36"/>
        <v>97077949</v>
      </c>
      <c r="U261" t="s">
        <v>1409</v>
      </c>
    </row>
    <row r="262" spans="1:21" hidden="1" x14ac:dyDescent="0.2">
      <c r="A262" s="186" t="s">
        <v>134</v>
      </c>
      <c r="B262" s="128">
        <f t="shared" si="31"/>
        <v>37</v>
      </c>
      <c r="C262" s="128" t="s">
        <v>822</v>
      </c>
      <c r="D262" s="128" t="s">
        <v>879</v>
      </c>
      <c r="E262" s="127">
        <v>500</v>
      </c>
      <c r="F262" s="127">
        <v>97074503</v>
      </c>
      <c r="G262" s="127" t="s">
        <v>1643</v>
      </c>
      <c r="H262" s="187"/>
      <c r="I262" s="187"/>
      <c r="P262" t="str">
        <f t="shared" si="32"/>
        <v>MELUN37</v>
      </c>
      <c r="Q262" t="str">
        <f t="shared" si="33"/>
        <v>FIGUEIREDO</v>
      </c>
      <c r="R262" t="str">
        <f t="shared" si="34"/>
        <v>Fabio</v>
      </c>
      <c r="S262">
        <f t="shared" si="35"/>
        <v>500</v>
      </c>
      <c r="T262">
        <f t="shared" si="36"/>
        <v>97074503</v>
      </c>
      <c r="U262" t="s">
        <v>918</v>
      </c>
    </row>
    <row r="263" spans="1:21" hidden="1" x14ac:dyDescent="0.2">
      <c r="A263" s="186" t="s">
        <v>134</v>
      </c>
      <c r="B263" s="128">
        <f t="shared" si="31"/>
        <v>38</v>
      </c>
      <c r="C263" s="128" t="s">
        <v>822</v>
      </c>
      <c r="D263" s="128" t="s">
        <v>305</v>
      </c>
      <c r="E263" s="127">
        <v>500</v>
      </c>
      <c r="F263" s="127">
        <v>97078967</v>
      </c>
      <c r="G263" s="127" t="s">
        <v>1643</v>
      </c>
      <c r="H263" s="187"/>
      <c r="I263" s="187"/>
      <c r="P263" t="str">
        <f t="shared" si="32"/>
        <v>MELUN38</v>
      </c>
      <c r="Q263" t="str">
        <f t="shared" si="33"/>
        <v>FIGUEIREDO</v>
      </c>
      <c r="R263" t="str">
        <f t="shared" si="34"/>
        <v>Victor</v>
      </c>
      <c r="S263">
        <f t="shared" si="35"/>
        <v>500</v>
      </c>
      <c r="T263">
        <f t="shared" si="36"/>
        <v>97078967</v>
      </c>
      <c r="U263" t="s">
        <v>883</v>
      </c>
    </row>
    <row r="264" spans="1:21" hidden="1" x14ac:dyDescent="0.2">
      <c r="A264" s="186" t="s">
        <v>134</v>
      </c>
      <c r="B264" s="128">
        <f t="shared" si="31"/>
        <v>39</v>
      </c>
      <c r="C264" s="128" t="s">
        <v>1200</v>
      </c>
      <c r="D264" s="128" t="s">
        <v>1312</v>
      </c>
      <c r="E264" s="127">
        <v>500</v>
      </c>
      <c r="F264" s="127">
        <v>97103254</v>
      </c>
      <c r="G264" s="127" t="s">
        <v>1856</v>
      </c>
      <c r="H264" s="187"/>
      <c r="I264" s="187"/>
      <c r="P264" t="str">
        <f t="shared" si="32"/>
        <v>MELUN39</v>
      </c>
      <c r="Q264" t="str">
        <f t="shared" si="33"/>
        <v>FONTAINE</v>
      </c>
      <c r="R264" t="str">
        <f t="shared" si="34"/>
        <v>Joel</v>
      </c>
      <c r="S264">
        <f t="shared" si="35"/>
        <v>500</v>
      </c>
      <c r="T264">
        <f t="shared" si="36"/>
        <v>97103254</v>
      </c>
      <c r="U264" t="s">
        <v>1422</v>
      </c>
    </row>
    <row r="265" spans="1:21" hidden="1" x14ac:dyDescent="0.2">
      <c r="A265" s="186" t="s">
        <v>134</v>
      </c>
      <c r="B265" s="128">
        <f t="shared" si="31"/>
        <v>40</v>
      </c>
      <c r="C265" s="128" t="s">
        <v>2036</v>
      </c>
      <c r="D265" s="128" t="s">
        <v>2037</v>
      </c>
      <c r="E265" s="127">
        <v>500</v>
      </c>
      <c r="F265" s="127">
        <v>97113270</v>
      </c>
      <c r="G265" s="127" t="s">
        <v>1643</v>
      </c>
      <c r="H265" s="187"/>
      <c r="I265" s="187"/>
      <c r="P265" t="str">
        <f t="shared" si="32"/>
        <v>MELUN40</v>
      </c>
      <c r="Q265" t="str">
        <f t="shared" si="33"/>
        <v>FUZIER</v>
      </c>
      <c r="R265" t="str">
        <f t="shared" si="34"/>
        <v>Geoffrey</v>
      </c>
      <c r="S265">
        <f t="shared" si="35"/>
        <v>500</v>
      </c>
      <c r="T265">
        <f t="shared" si="36"/>
        <v>97113270</v>
      </c>
      <c r="U265" t="s">
        <v>2047</v>
      </c>
    </row>
    <row r="266" spans="1:21" hidden="1" x14ac:dyDescent="0.2">
      <c r="A266" s="186" t="s">
        <v>134</v>
      </c>
      <c r="B266" s="128">
        <f t="shared" si="31"/>
        <v>41</v>
      </c>
      <c r="C266" s="128" t="s">
        <v>1212</v>
      </c>
      <c r="D266" s="128" t="s">
        <v>584</v>
      </c>
      <c r="E266" s="127">
        <v>595</v>
      </c>
      <c r="F266" s="127">
        <v>97078970</v>
      </c>
      <c r="G266" s="127" t="s">
        <v>1643</v>
      </c>
      <c r="H266" s="187"/>
      <c r="I266" s="187"/>
      <c r="P266" t="str">
        <f t="shared" si="32"/>
        <v>MELUN41</v>
      </c>
      <c r="Q266" t="str">
        <f t="shared" si="33"/>
        <v>GAUDRIN</v>
      </c>
      <c r="R266" t="str">
        <f t="shared" si="34"/>
        <v>Jules</v>
      </c>
      <c r="S266">
        <f t="shared" si="35"/>
        <v>595</v>
      </c>
      <c r="T266">
        <f t="shared" si="36"/>
        <v>97078970</v>
      </c>
      <c r="U266" t="s">
        <v>1436</v>
      </c>
    </row>
    <row r="267" spans="1:21" hidden="1" x14ac:dyDescent="0.2">
      <c r="A267" s="186" t="s">
        <v>134</v>
      </c>
      <c r="B267" s="128">
        <f t="shared" si="31"/>
        <v>42</v>
      </c>
      <c r="C267" s="128" t="s">
        <v>929</v>
      </c>
      <c r="D267" s="128" t="s">
        <v>300</v>
      </c>
      <c r="E267" s="127">
        <v>559</v>
      </c>
      <c r="F267" s="127">
        <v>97102585</v>
      </c>
      <c r="G267" s="127" t="s">
        <v>1643</v>
      </c>
      <c r="H267" s="187"/>
      <c r="I267" s="187"/>
      <c r="P267" t="str">
        <f t="shared" si="32"/>
        <v>MELUN42</v>
      </c>
      <c r="Q267" t="str">
        <f t="shared" si="33"/>
        <v>GICQUEL</v>
      </c>
      <c r="R267" t="str">
        <f t="shared" si="34"/>
        <v>Adrien</v>
      </c>
      <c r="S267">
        <f t="shared" si="35"/>
        <v>559</v>
      </c>
      <c r="T267">
        <f t="shared" si="36"/>
        <v>97102585</v>
      </c>
      <c r="U267" t="s">
        <v>1411</v>
      </c>
    </row>
    <row r="268" spans="1:21" hidden="1" x14ac:dyDescent="0.2">
      <c r="A268" s="186" t="s">
        <v>134</v>
      </c>
      <c r="B268" s="128">
        <f t="shared" si="31"/>
        <v>43</v>
      </c>
      <c r="C268" s="128" t="s">
        <v>1193</v>
      </c>
      <c r="D268" s="128" t="s">
        <v>290</v>
      </c>
      <c r="E268" s="127">
        <v>500</v>
      </c>
      <c r="F268" s="127">
        <v>87418869</v>
      </c>
      <c r="G268" s="127" t="s">
        <v>1856</v>
      </c>
      <c r="H268" s="187"/>
      <c r="I268" s="187"/>
      <c r="P268" t="str">
        <f t="shared" si="32"/>
        <v>MELUN43</v>
      </c>
      <c r="Q268" t="str">
        <f t="shared" si="33"/>
        <v>GRYSAN</v>
      </c>
      <c r="R268" t="str">
        <f t="shared" si="34"/>
        <v>Alexandre</v>
      </c>
      <c r="S268">
        <f t="shared" si="35"/>
        <v>500</v>
      </c>
      <c r="T268">
        <f t="shared" si="36"/>
        <v>87418869</v>
      </c>
      <c r="U268" t="s">
        <v>1414</v>
      </c>
    </row>
    <row r="269" spans="1:21" hidden="1" x14ac:dyDescent="0.2">
      <c r="A269" s="186" t="s">
        <v>134</v>
      </c>
      <c r="B269" s="128">
        <f t="shared" si="31"/>
        <v>44</v>
      </c>
      <c r="C269" s="128" t="s">
        <v>1213</v>
      </c>
      <c r="D269" s="128" t="s">
        <v>1321</v>
      </c>
      <c r="E269" s="127">
        <v>500</v>
      </c>
      <c r="F269" s="127">
        <v>97102586</v>
      </c>
      <c r="G269" s="127" t="s">
        <v>1856</v>
      </c>
      <c r="H269" s="187"/>
      <c r="I269" s="187"/>
      <c r="P269" t="str">
        <f t="shared" si="32"/>
        <v>MELUN44</v>
      </c>
      <c r="Q269" t="str">
        <f t="shared" si="33"/>
        <v>GUILLEVIN</v>
      </c>
      <c r="R269" t="str">
        <f t="shared" si="34"/>
        <v>Gildas</v>
      </c>
      <c r="S269">
        <f t="shared" si="35"/>
        <v>500</v>
      </c>
      <c r="T269">
        <f t="shared" si="36"/>
        <v>97102586</v>
      </c>
      <c r="U269" t="s">
        <v>1438</v>
      </c>
    </row>
    <row r="270" spans="1:21" hidden="1" x14ac:dyDescent="0.2">
      <c r="A270" s="186" t="s">
        <v>134</v>
      </c>
      <c r="B270" s="128">
        <f t="shared" si="31"/>
        <v>45</v>
      </c>
      <c r="C270" s="128" t="s">
        <v>2032</v>
      </c>
      <c r="D270" s="128" t="s">
        <v>2033</v>
      </c>
      <c r="E270" s="127">
        <v>500</v>
      </c>
      <c r="F270" s="127">
        <v>97080895</v>
      </c>
      <c r="G270" s="127" t="s">
        <v>1643</v>
      </c>
      <c r="H270" s="187"/>
      <c r="I270" s="187"/>
      <c r="P270" t="str">
        <f t="shared" si="32"/>
        <v>MELUN45</v>
      </c>
      <c r="Q270" t="str">
        <f t="shared" si="33"/>
        <v>HADJADJ</v>
      </c>
      <c r="R270" t="str">
        <f t="shared" si="34"/>
        <v>Mélisse</v>
      </c>
      <c r="S270">
        <f t="shared" si="35"/>
        <v>500</v>
      </c>
      <c r="T270">
        <f t="shared" si="36"/>
        <v>97080895</v>
      </c>
      <c r="U270" t="s">
        <v>2048</v>
      </c>
    </row>
    <row r="271" spans="1:21" hidden="1" x14ac:dyDescent="0.2">
      <c r="A271" s="186" t="s">
        <v>134</v>
      </c>
      <c r="B271" s="128">
        <f t="shared" si="31"/>
        <v>46</v>
      </c>
      <c r="C271" s="128" t="s">
        <v>844</v>
      </c>
      <c r="D271" s="128" t="s">
        <v>868</v>
      </c>
      <c r="E271" s="127">
        <v>658</v>
      </c>
      <c r="F271" s="127">
        <v>97078980</v>
      </c>
      <c r="G271" s="127" t="s">
        <v>1643</v>
      </c>
      <c r="H271" s="187"/>
      <c r="I271" s="187"/>
      <c r="P271" t="str">
        <f t="shared" si="32"/>
        <v>MELUN46</v>
      </c>
      <c r="Q271" t="str">
        <f t="shared" si="33"/>
        <v>HARIGA</v>
      </c>
      <c r="R271" t="str">
        <f t="shared" si="34"/>
        <v>Andreï</v>
      </c>
      <c r="S271">
        <f t="shared" si="35"/>
        <v>658</v>
      </c>
      <c r="T271">
        <f t="shared" si="36"/>
        <v>97078980</v>
      </c>
      <c r="U271" t="s">
        <v>902</v>
      </c>
    </row>
    <row r="272" spans="1:21" hidden="1" x14ac:dyDescent="0.2">
      <c r="A272" s="186" t="s">
        <v>134</v>
      </c>
      <c r="B272" s="128">
        <f t="shared" si="31"/>
        <v>47</v>
      </c>
      <c r="C272" s="128" t="s">
        <v>844</v>
      </c>
      <c r="D272" s="128" t="s">
        <v>869</v>
      </c>
      <c r="E272" s="127">
        <v>500</v>
      </c>
      <c r="F272" s="127">
        <v>97093982</v>
      </c>
      <c r="G272" s="127" t="s">
        <v>1643</v>
      </c>
      <c r="H272" s="187"/>
      <c r="I272" s="187"/>
      <c r="P272" t="str">
        <f t="shared" si="32"/>
        <v>MELUN47</v>
      </c>
      <c r="Q272" t="str">
        <f t="shared" si="33"/>
        <v>HARIGA</v>
      </c>
      <c r="R272" t="str">
        <f t="shared" si="34"/>
        <v>Ionut Cristian</v>
      </c>
      <c r="S272">
        <f t="shared" si="35"/>
        <v>500</v>
      </c>
      <c r="T272">
        <f t="shared" si="36"/>
        <v>97093982</v>
      </c>
      <c r="U272" t="s">
        <v>903</v>
      </c>
    </row>
    <row r="273" spans="1:21" hidden="1" x14ac:dyDescent="0.2">
      <c r="A273" s="186" t="s">
        <v>134</v>
      </c>
      <c r="B273" s="128">
        <f t="shared" si="31"/>
        <v>48</v>
      </c>
      <c r="C273" s="128" t="s">
        <v>1210</v>
      </c>
      <c r="D273" s="128" t="s">
        <v>1319</v>
      </c>
      <c r="E273" s="127">
        <v>500</v>
      </c>
      <c r="F273" s="127">
        <v>97104967</v>
      </c>
      <c r="G273" s="127" t="s">
        <v>1856</v>
      </c>
      <c r="H273" s="187"/>
      <c r="I273" s="187"/>
      <c r="P273" t="str">
        <f t="shared" si="32"/>
        <v>MELUN48</v>
      </c>
      <c r="Q273" t="str">
        <f t="shared" si="33"/>
        <v>HERTGEN</v>
      </c>
      <c r="R273" t="str">
        <f t="shared" si="34"/>
        <v>Erwin</v>
      </c>
      <c r="S273">
        <f t="shared" si="35"/>
        <v>500</v>
      </c>
      <c r="T273">
        <f t="shared" si="36"/>
        <v>97104967</v>
      </c>
      <c r="U273" t="s">
        <v>1434</v>
      </c>
    </row>
    <row r="274" spans="1:21" hidden="1" x14ac:dyDescent="0.2">
      <c r="A274" s="186" t="s">
        <v>134</v>
      </c>
      <c r="B274" s="128">
        <f t="shared" si="31"/>
        <v>49</v>
      </c>
      <c r="C274" s="128" t="s">
        <v>1602</v>
      </c>
      <c r="D274" s="128" t="s">
        <v>950</v>
      </c>
      <c r="E274" s="127">
        <v>551</v>
      </c>
      <c r="F274" s="127">
        <v>97108444</v>
      </c>
      <c r="G274" s="127" t="s">
        <v>1643</v>
      </c>
      <c r="H274" s="187"/>
      <c r="I274" s="187"/>
      <c r="P274" t="str">
        <f t="shared" si="32"/>
        <v>MELUN49</v>
      </c>
      <c r="Q274" t="str">
        <f t="shared" si="33"/>
        <v>HUP</v>
      </c>
      <c r="R274" t="str">
        <f t="shared" si="34"/>
        <v>Raphaël</v>
      </c>
      <c r="S274">
        <f t="shared" si="35"/>
        <v>551</v>
      </c>
      <c r="T274">
        <f t="shared" si="36"/>
        <v>97108444</v>
      </c>
      <c r="U274" t="s">
        <v>1617</v>
      </c>
    </row>
    <row r="275" spans="1:21" hidden="1" x14ac:dyDescent="0.2">
      <c r="A275" s="186" t="s">
        <v>134</v>
      </c>
      <c r="B275" s="128">
        <f t="shared" si="31"/>
        <v>50</v>
      </c>
      <c r="C275" s="128" t="s">
        <v>2038</v>
      </c>
      <c r="D275" s="128" t="s">
        <v>639</v>
      </c>
      <c r="E275" s="127">
        <v>500</v>
      </c>
      <c r="F275" s="127">
        <v>97081701</v>
      </c>
      <c r="G275" s="127" t="s">
        <v>1643</v>
      </c>
      <c r="H275" s="187"/>
      <c r="I275" s="187"/>
      <c r="P275" t="str">
        <f t="shared" si="32"/>
        <v>MELUN50</v>
      </c>
      <c r="Q275" t="str">
        <f t="shared" si="33"/>
        <v>JOACHIM</v>
      </c>
      <c r="R275" t="str">
        <f t="shared" si="34"/>
        <v>Sébastien</v>
      </c>
      <c r="S275">
        <f t="shared" si="35"/>
        <v>500</v>
      </c>
      <c r="T275">
        <f t="shared" si="36"/>
        <v>97081701</v>
      </c>
      <c r="U275" t="s">
        <v>2049</v>
      </c>
    </row>
    <row r="276" spans="1:21" hidden="1" x14ac:dyDescent="0.2">
      <c r="A276" s="186" t="s">
        <v>134</v>
      </c>
      <c r="B276" s="128">
        <f t="shared" si="31"/>
        <v>51</v>
      </c>
      <c r="C276" s="128" t="s">
        <v>581</v>
      </c>
      <c r="D276" s="128" t="s">
        <v>582</v>
      </c>
      <c r="E276" s="127">
        <v>500</v>
      </c>
      <c r="F276" s="127">
        <v>97075553</v>
      </c>
      <c r="G276" s="127" t="s">
        <v>1643</v>
      </c>
      <c r="H276" s="187"/>
      <c r="I276" s="187"/>
      <c r="P276" t="str">
        <f t="shared" si="32"/>
        <v>MELUN51</v>
      </c>
      <c r="Q276" t="str">
        <f t="shared" si="33"/>
        <v>JULLEMIER</v>
      </c>
      <c r="R276" t="str">
        <f t="shared" si="34"/>
        <v>Léopold</v>
      </c>
      <c r="S276">
        <f t="shared" si="35"/>
        <v>500</v>
      </c>
      <c r="T276">
        <f t="shared" si="36"/>
        <v>97075553</v>
      </c>
      <c r="U276" t="s">
        <v>583</v>
      </c>
    </row>
    <row r="277" spans="1:21" hidden="1" x14ac:dyDescent="0.2">
      <c r="A277" s="186" t="s">
        <v>134</v>
      </c>
      <c r="B277" s="128">
        <f t="shared" si="31"/>
        <v>52</v>
      </c>
      <c r="C277" s="128" t="s">
        <v>1203</v>
      </c>
      <c r="D277" s="128" t="s">
        <v>343</v>
      </c>
      <c r="E277" s="127">
        <v>500</v>
      </c>
      <c r="F277" s="127">
        <v>97103255</v>
      </c>
      <c r="G277" s="127" t="s">
        <v>1643</v>
      </c>
      <c r="H277" s="187"/>
      <c r="I277" s="187"/>
      <c r="P277" t="str">
        <f t="shared" si="32"/>
        <v>MELUN52</v>
      </c>
      <c r="Q277" t="str">
        <f t="shared" si="33"/>
        <v>KACZMAREK</v>
      </c>
      <c r="R277" t="str">
        <f t="shared" si="34"/>
        <v>Sylvain</v>
      </c>
      <c r="S277">
        <f t="shared" si="35"/>
        <v>500</v>
      </c>
      <c r="T277">
        <f t="shared" si="36"/>
        <v>97103255</v>
      </c>
      <c r="U277" t="s">
        <v>1425</v>
      </c>
    </row>
    <row r="278" spans="1:21" hidden="1" x14ac:dyDescent="0.2">
      <c r="A278" s="186" t="s">
        <v>134</v>
      </c>
      <c r="B278" s="128">
        <f t="shared" si="31"/>
        <v>53</v>
      </c>
      <c r="C278" s="128" t="s">
        <v>1208</v>
      </c>
      <c r="D278" s="128" t="s">
        <v>303</v>
      </c>
      <c r="E278" s="127">
        <v>500</v>
      </c>
      <c r="F278" s="127">
        <v>97103256</v>
      </c>
      <c r="G278" s="127" t="s">
        <v>1856</v>
      </c>
      <c r="H278" s="187"/>
      <c r="I278" s="187"/>
      <c r="P278" t="str">
        <f t="shared" si="32"/>
        <v>MELUN53</v>
      </c>
      <c r="Q278" t="str">
        <f t="shared" si="33"/>
        <v>KARIA</v>
      </c>
      <c r="R278" t="str">
        <f t="shared" si="34"/>
        <v>Lucas</v>
      </c>
      <c r="S278">
        <f t="shared" si="35"/>
        <v>500</v>
      </c>
      <c r="T278">
        <f t="shared" si="36"/>
        <v>97103256</v>
      </c>
      <c r="U278" t="s">
        <v>1431</v>
      </c>
    </row>
    <row r="279" spans="1:21" hidden="1" x14ac:dyDescent="0.2">
      <c r="A279" s="186" t="s">
        <v>134</v>
      </c>
      <c r="B279" s="128">
        <f t="shared" si="31"/>
        <v>54</v>
      </c>
      <c r="C279" s="128" t="s">
        <v>1206</v>
      </c>
      <c r="D279" s="128" t="s">
        <v>1317</v>
      </c>
      <c r="E279" s="127">
        <v>500</v>
      </c>
      <c r="F279" s="127">
        <v>97103257</v>
      </c>
      <c r="G279" s="127" t="s">
        <v>1643</v>
      </c>
      <c r="H279" s="187"/>
      <c r="I279" s="187"/>
      <c r="P279" t="str">
        <f t="shared" si="32"/>
        <v>MELUN54</v>
      </c>
      <c r="Q279" t="str">
        <f t="shared" si="33"/>
        <v>LACROIX</v>
      </c>
      <c r="R279" t="str">
        <f t="shared" si="34"/>
        <v>Lilian</v>
      </c>
      <c r="S279">
        <f t="shared" si="35"/>
        <v>500</v>
      </c>
      <c r="T279">
        <f t="shared" si="36"/>
        <v>97103257</v>
      </c>
      <c r="U279" t="s">
        <v>1428</v>
      </c>
    </row>
    <row r="280" spans="1:21" hidden="1" x14ac:dyDescent="0.2">
      <c r="A280" s="186" t="s">
        <v>134</v>
      </c>
      <c r="B280" s="128">
        <f t="shared" si="31"/>
        <v>55</v>
      </c>
      <c r="C280" s="128" t="s">
        <v>1206</v>
      </c>
      <c r="D280" s="128" t="s">
        <v>322</v>
      </c>
      <c r="E280" s="127">
        <v>511</v>
      </c>
      <c r="F280" s="127">
        <v>97103258</v>
      </c>
      <c r="G280" s="127" t="s">
        <v>1643</v>
      </c>
      <c r="H280" s="187"/>
      <c r="I280" s="187"/>
      <c r="P280" t="str">
        <f t="shared" si="32"/>
        <v>MELUN55</v>
      </c>
      <c r="Q280" t="str">
        <f t="shared" si="33"/>
        <v>LACROIX</v>
      </c>
      <c r="R280" t="str">
        <f t="shared" si="34"/>
        <v>Nathan</v>
      </c>
      <c r="S280">
        <f t="shared" si="35"/>
        <v>511</v>
      </c>
      <c r="T280">
        <f t="shared" si="36"/>
        <v>97103258</v>
      </c>
      <c r="U280" t="s">
        <v>1429</v>
      </c>
    </row>
    <row r="281" spans="1:21" hidden="1" x14ac:dyDescent="0.2">
      <c r="A281" s="186" t="s">
        <v>134</v>
      </c>
      <c r="B281" s="128">
        <f t="shared" si="31"/>
        <v>56</v>
      </c>
      <c r="C281" s="128" t="s">
        <v>830</v>
      </c>
      <c r="D281" s="128" t="s">
        <v>1325</v>
      </c>
      <c r="E281" s="127">
        <v>1693</v>
      </c>
      <c r="F281" s="127">
        <v>53287711</v>
      </c>
      <c r="G281" s="127" t="s">
        <v>1643</v>
      </c>
      <c r="H281" s="187"/>
      <c r="I281" s="187"/>
      <c r="P281" t="str">
        <f t="shared" si="32"/>
        <v>MELUN56</v>
      </c>
      <c r="Q281" t="str">
        <f t="shared" si="33"/>
        <v>LAUMONIER</v>
      </c>
      <c r="R281" t="str">
        <f t="shared" si="34"/>
        <v>Hubert</v>
      </c>
      <c r="S281">
        <f t="shared" si="35"/>
        <v>1693</v>
      </c>
      <c r="T281">
        <f t="shared" si="36"/>
        <v>53287711</v>
      </c>
      <c r="U281" t="s">
        <v>1457</v>
      </c>
    </row>
    <row r="282" spans="1:21" hidden="1" x14ac:dyDescent="0.2">
      <c r="A282" s="186" t="s">
        <v>134</v>
      </c>
      <c r="B282" s="128">
        <f t="shared" si="31"/>
        <v>57</v>
      </c>
      <c r="C282" s="128" t="s">
        <v>830</v>
      </c>
      <c r="D282" s="128" t="s">
        <v>1014</v>
      </c>
      <c r="E282" s="127">
        <v>500</v>
      </c>
      <c r="F282" s="127">
        <v>97085272</v>
      </c>
      <c r="G282" s="127" t="s">
        <v>1643</v>
      </c>
      <c r="H282" s="187"/>
      <c r="I282" s="187"/>
      <c r="P282" t="str">
        <f t="shared" si="32"/>
        <v>MELUN57</v>
      </c>
      <c r="Q282" t="str">
        <f t="shared" si="33"/>
        <v>LAUMONIER</v>
      </c>
      <c r="R282" t="str">
        <f t="shared" si="34"/>
        <v>Oceane</v>
      </c>
      <c r="S282">
        <f t="shared" si="35"/>
        <v>500</v>
      </c>
      <c r="T282">
        <f t="shared" si="36"/>
        <v>97085272</v>
      </c>
      <c r="U282" t="s">
        <v>1437</v>
      </c>
    </row>
    <row r="283" spans="1:21" hidden="1" x14ac:dyDescent="0.2">
      <c r="A283" s="186" t="s">
        <v>134</v>
      </c>
      <c r="B283" s="128">
        <f t="shared" si="31"/>
        <v>58</v>
      </c>
      <c r="C283" s="128" t="s">
        <v>2071</v>
      </c>
      <c r="D283" s="128" t="s">
        <v>878</v>
      </c>
      <c r="E283" s="127">
        <v>500</v>
      </c>
      <c r="F283" s="127">
        <v>97114073</v>
      </c>
      <c r="G283" s="127" t="s">
        <v>1643</v>
      </c>
      <c r="H283" s="187"/>
      <c r="I283" s="187"/>
      <c r="P283" t="str">
        <f t="shared" si="32"/>
        <v>MELUN58</v>
      </c>
      <c r="Q283" t="str">
        <f t="shared" si="33"/>
        <v>LE GUILLOU</v>
      </c>
      <c r="R283" t="str">
        <f t="shared" si="34"/>
        <v>Brieuc</v>
      </c>
      <c r="S283">
        <f t="shared" si="35"/>
        <v>500</v>
      </c>
      <c r="T283">
        <f t="shared" si="36"/>
        <v>97114073</v>
      </c>
      <c r="U283" t="s">
        <v>2072</v>
      </c>
    </row>
    <row r="284" spans="1:21" hidden="1" x14ac:dyDescent="0.2">
      <c r="A284" s="186" t="s">
        <v>134</v>
      </c>
      <c r="B284" s="128">
        <f t="shared" si="31"/>
        <v>59</v>
      </c>
      <c r="C284" s="128" t="s">
        <v>95</v>
      </c>
      <c r="D284" s="128" t="s">
        <v>330</v>
      </c>
      <c r="E284" s="127">
        <v>1226</v>
      </c>
      <c r="F284" s="127">
        <v>87456585</v>
      </c>
      <c r="G284" s="127" t="s">
        <v>1643</v>
      </c>
      <c r="H284" s="187"/>
      <c r="I284" s="187"/>
      <c r="P284" t="str">
        <f t="shared" si="32"/>
        <v>MELUN59</v>
      </c>
      <c r="Q284" t="str">
        <f t="shared" si="33"/>
        <v>LEFEVRE</v>
      </c>
      <c r="R284" t="str">
        <f t="shared" si="34"/>
        <v>Herve</v>
      </c>
      <c r="S284">
        <f t="shared" si="35"/>
        <v>1226</v>
      </c>
      <c r="T284">
        <f t="shared" si="36"/>
        <v>87456585</v>
      </c>
      <c r="U284" t="s">
        <v>207</v>
      </c>
    </row>
    <row r="285" spans="1:21" hidden="1" x14ac:dyDescent="0.2">
      <c r="A285" s="186" t="s">
        <v>134</v>
      </c>
      <c r="B285" s="128">
        <f t="shared" si="31"/>
        <v>60</v>
      </c>
      <c r="C285" s="128" t="s">
        <v>1525</v>
      </c>
      <c r="D285" s="128" t="s">
        <v>1548</v>
      </c>
      <c r="E285" s="127">
        <v>500</v>
      </c>
      <c r="F285" s="127">
        <v>97106159</v>
      </c>
      <c r="G285" s="127" t="s">
        <v>1643</v>
      </c>
      <c r="H285" s="187"/>
      <c r="I285" s="187"/>
      <c r="P285" t="str">
        <f t="shared" si="32"/>
        <v>MELUN60</v>
      </c>
      <c r="Q285" t="str">
        <f t="shared" si="33"/>
        <v>LELAURE</v>
      </c>
      <c r="R285" t="str">
        <f t="shared" si="34"/>
        <v>Emilien</v>
      </c>
      <c r="S285">
        <f t="shared" si="35"/>
        <v>500</v>
      </c>
      <c r="T285">
        <f t="shared" si="36"/>
        <v>97106159</v>
      </c>
      <c r="U285" t="s">
        <v>1569</v>
      </c>
    </row>
    <row r="286" spans="1:21" hidden="1" x14ac:dyDescent="0.2">
      <c r="A286" s="186" t="s">
        <v>134</v>
      </c>
      <c r="B286" s="128">
        <f t="shared" si="31"/>
        <v>61</v>
      </c>
      <c r="C286" s="128" t="s">
        <v>655</v>
      </c>
      <c r="D286" s="128" t="s">
        <v>364</v>
      </c>
      <c r="E286" s="127">
        <v>827</v>
      </c>
      <c r="F286" s="127">
        <v>97082456</v>
      </c>
      <c r="G286" s="127" t="s">
        <v>1643</v>
      </c>
      <c r="H286" s="187"/>
      <c r="I286" s="187"/>
      <c r="P286" t="str">
        <f t="shared" si="32"/>
        <v>MELUN61</v>
      </c>
      <c r="Q286" t="str">
        <f t="shared" si="33"/>
        <v>LEMARCHAND</v>
      </c>
      <c r="R286" t="str">
        <f t="shared" si="34"/>
        <v>Gabriel</v>
      </c>
      <c r="S286">
        <f t="shared" si="35"/>
        <v>827</v>
      </c>
      <c r="T286">
        <f t="shared" si="36"/>
        <v>97082456</v>
      </c>
      <c r="U286" t="s">
        <v>667</v>
      </c>
    </row>
    <row r="287" spans="1:21" hidden="1" x14ac:dyDescent="0.2">
      <c r="A287" s="186" t="s">
        <v>134</v>
      </c>
      <c r="B287" s="128">
        <f t="shared" si="31"/>
        <v>62</v>
      </c>
      <c r="C287" s="128" t="s">
        <v>1186</v>
      </c>
      <c r="D287" s="128" t="s">
        <v>1304</v>
      </c>
      <c r="E287" s="127">
        <v>500</v>
      </c>
      <c r="F287" s="127">
        <v>97103259</v>
      </c>
      <c r="G287" s="127" t="s">
        <v>1856</v>
      </c>
      <c r="H287" s="187"/>
      <c r="I287" s="187"/>
      <c r="P287" t="str">
        <f t="shared" si="32"/>
        <v>MELUN62</v>
      </c>
      <c r="Q287" t="str">
        <f t="shared" si="33"/>
        <v>LOUNISSI</v>
      </c>
      <c r="R287" t="str">
        <f t="shared" si="34"/>
        <v>Iyed</v>
      </c>
      <c r="S287">
        <f t="shared" si="35"/>
        <v>500</v>
      </c>
      <c r="T287">
        <f t="shared" si="36"/>
        <v>97103259</v>
      </c>
      <c r="U287" t="s">
        <v>1406</v>
      </c>
    </row>
    <row r="288" spans="1:21" hidden="1" x14ac:dyDescent="0.2">
      <c r="A288" s="186" t="s">
        <v>134</v>
      </c>
      <c r="B288" s="128">
        <f t="shared" si="31"/>
        <v>63</v>
      </c>
      <c r="C288" s="128" t="s">
        <v>1629</v>
      </c>
      <c r="D288" s="128" t="s">
        <v>317</v>
      </c>
      <c r="E288" s="127">
        <v>986</v>
      </c>
      <c r="F288" s="127">
        <v>55332334</v>
      </c>
      <c r="G288" s="127" t="s">
        <v>1856</v>
      </c>
      <c r="H288" s="187"/>
      <c r="I288" s="187"/>
      <c r="P288" t="str">
        <f t="shared" si="32"/>
        <v>MELUN63</v>
      </c>
      <c r="Q288" t="str">
        <f t="shared" si="33"/>
        <v>LOUVET</v>
      </c>
      <c r="R288" t="str">
        <f t="shared" si="34"/>
        <v>Thomas</v>
      </c>
      <c r="S288">
        <f t="shared" si="35"/>
        <v>986</v>
      </c>
      <c r="T288">
        <f t="shared" si="36"/>
        <v>55332334</v>
      </c>
      <c r="U288" t="s">
        <v>1651</v>
      </c>
    </row>
    <row r="289" spans="1:21" hidden="1" x14ac:dyDescent="0.2">
      <c r="A289" s="186" t="s">
        <v>134</v>
      </c>
      <c r="B289" s="128">
        <f t="shared" si="31"/>
        <v>64</v>
      </c>
      <c r="C289" s="128" t="s">
        <v>823</v>
      </c>
      <c r="D289" s="128" t="s">
        <v>859</v>
      </c>
      <c r="E289" s="127">
        <v>500</v>
      </c>
      <c r="F289" s="127">
        <v>97072164</v>
      </c>
      <c r="G289" s="127" t="s">
        <v>1856</v>
      </c>
      <c r="H289" s="187"/>
      <c r="I289" s="187"/>
      <c r="P289" t="str">
        <f t="shared" si="32"/>
        <v>MELUN64</v>
      </c>
      <c r="Q289" t="str">
        <f t="shared" si="33"/>
        <v>MACE RICHARD</v>
      </c>
      <c r="R289" t="str">
        <f t="shared" si="34"/>
        <v>Auxence</v>
      </c>
      <c r="S289">
        <f t="shared" si="35"/>
        <v>500</v>
      </c>
      <c r="T289">
        <f t="shared" si="36"/>
        <v>97072164</v>
      </c>
      <c r="U289" t="s">
        <v>884</v>
      </c>
    </row>
    <row r="290" spans="1:21" hidden="1" x14ac:dyDescent="0.2">
      <c r="A290" s="186" t="s">
        <v>134</v>
      </c>
      <c r="B290" s="128">
        <f t="shared" si="31"/>
        <v>65</v>
      </c>
      <c r="C290" s="128" t="s">
        <v>1202</v>
      </c>
      <c r="D290" s="128" t="s">
        <v>1314</v>
      </c>
      <c r="E290" s="127">
        <v>500</v>
      </c>
      <c r="F290" s="127">
        <v>97103260</v>
      </c>
      <c r="G290" s="127" t="s">
        <v>1856</v>
      </c>
      <c r="H290" s="187"/>
      <c r="I290" s="187"/>
      <c r="P290" t="str">
        <f t="shared" si="32"/>
        <v>MELUN65</v>
      </c>
      <c r="Q290" t="str">
        <f t="shared" si="33"/>
        <v>MARCHAND</v>
      </c>
      <c r="R290" t="str">
        <f t="shared" si="34"/>
        <v>Michele</v>
      </c>
      <c r="S290">
        <f t="shared" si="35"/>
        <v>500</v>
      </c>
      <c r="T290">
        <f t="shared" si="36"/>
        <v>97103260</v>
      </c>
      <c r="U290" t="s">
        <v>1424</v>
      </c>
    </row>
    <row r="291" spans="1:21" hidden="1" x14ac:dyDescent="0.2">
      <c r="A291" s="186" t="s">
        <v>134</v>
      </c>
      <c r="B291" s="128">
        <f t="shared" si="31"/>
        <v>66</v>
      </c>
      <c r="C291" s="128" t="s">
        <v>492</v>
      </c>
      <c r="D291" s="128" t="s">
        <v>567</v>
      </c>
      <c r="E291" s="127">
        <v>507</v>
      </c>
      <c r="F291" s="127">
        <v>97074806</v>
      </c>
      <c r="G291" s="127" t="s">
        <v>1643</v>
      </c>
      <c r="H291" s="187"/>
      <c r="I291" s="187"/>
      <c r="P291" t="str">
        <f t="shared" si="32"/>
        <v>MELUN66</v>
      </c>
      <c r="Q291" t="str">
        <f t="shared" si="33"/>
        <v>MARIE</v>
      </c>
      <c r="R291" t="str">
        <f t="shared" si="34"/>
        <v>Pascale</v>
      </c>
      <c r="S291">
        <f t="shared" si="35"/>
        <v>507</v>
      </c>
      <c r="T291">
        <f t="shared" si="36"/>
        <v>97074806</v>
      </c>
      <c r="U291" t="s">
        <v>568</v>
      </c>
    </row>
    <row r="292" spans="1:21" hidden="1" x14ac:dyDescent="0.2">
      <c r="A292" s="186" t="s">
        <v>134</v>
      </c>
      <c r="B292" s="128">
        <f t="shared" ref="B292:B358" si="37">IF(A292=A291,B291+1,1)</f>
        <v>67</v>
      </c>
      <c r="C292" s="128" t="s">
        <v>2039</v>
      </c>
      <c r="D292" s="128" t="s">
        <v>2040</v>
      </c>
      <c r="E292" s="127">
        <v>500</v>
      </c>
      <c r="F292" s="127">
        <v>97113271</v>
      </c>
      <c r="G292" s="127" t="s">
        <v>1643</v>
      </c>
      <c r="H292" s="187"/>
      <c r="I292" s="187"/>
      <c r="P292" t="str">
        <f t="shared" ref="P292:P358" si="38">A292&amp;B292</f>
        <v>MELUN67</v>
      </c>
      <c r="Q292" t="str">
        <f t="shared" si="33"/>
        <v>MARTIN-LEMAGNE</v>
      </c>
      <c r="R292" t="str">
        <f t="shared" si="34"/>
        <v>Caroline</v>
      </c>
      <c r="S292">
        <f t="shared" si="35"/>
        <v>500</v>
      </c>
      <c r="T292">
        <f t="shared" si="36"/>
        <v>97113271</v>
      </c>
      <c r="U292" t="s">
        <v>2051</v>
      </c>
    </row>
    <row r="293" spans="1:21" hidden="1" x14ac:dyDescent="0.2">
      <c r="A293" s="186" t="s">
        <v>134</v>
      </c>
      <c r="B293" s="128">
        <f t="shared" si="37"/>
        <v>68</v>
      </c>
      <c r="C293" s="128" t="s">
        <v>2041</v>
      </c>
      <c r="D293" s="128" t="s">
        <v>952</v>
      </c>
      <c r="E293" s="127">
        <v>500</v>
      </c>
      <c r="F293" s="127">
        <v>97113272</v>
      </c>
      <c r="G293" s="127" t="s">
        <v>1643</v>
      </c>
      <c r="H293" s="187"/>
      <c r="I293" s="187"/>
      <c r="P293" t="str">
        <f t="shared" si="38"/>
        <v>MELUN68</v>
      </c>
      <c r="Q293" t="str">
        <f t="shared" si="33"/>
        <v xml:space="preserve">MASSON </v>
      </c>
      <c r="R293" t="str">
        <f t="shared" si="34"/>
        <v>Amaury</v>
      </c>
      <c r="S293">
        <f t="shared" si="35"/>
        <v>500</v>
      </c>
      <c r="T293">
        <f t="shared" si="36"/>
        <v>97113272</v>
      </c>
      <c r="U293" t="s">
        <v>2050</v>
      </c>
    </row>
    <row r="294" spans="1:21" hidden="1" x14ac:dyDescent="0.2">
      <c r="A294" s="186" t="s">
        <v>134</v>
      </c>
      <c r="B294" s="128">
        <f t="shared" si="37"/>
        <v>69</v>
      </c>
      <c r="C294" s="128" t="s">
        <v>2041</v>
      </c>
      <c r="D294" s="128" t="s">
        <v>1909</v>
      </c>
      <c r="E294" s="127">
        <v>500</v>
      </c>
      <c r="F294" s="127">
        <v>97114074</v>
      </c>
      <c r="G294" s="127" t="s">
        <v>1643</v>
      </c>
      <c r="H294" s="187"/>
      <c r="I294" s="187"/>
      <c r="P294" t="str">
        <f t="shared" si="38"/>
        <v>MELUN69</v>
      </c>
      <c r="Q294" t="str">
        <f t="shared" si="33"/>
        <v xml:space="preserve">MASSON </v>
      </c>
      <c r="R294" t="str">
        <f t="shared" si="34"/>
        <v>Camille</v>
      </c>
      <c r="S294">
        <f t="shared" si="35"/>
        <v>500</v>
      </c>
      <c r="T294">
        <f t="shared" si="36"/>
        <v>97114074</v>
      </c>
      <c r="U294" t="s">
        <v>2068</v>
      </c>
    </row>
    <row r="295" spans="1:21" hidden="1" x14ac:dyDescent="0.2">
      <c r="A295" s="186" t="s">
        <v>134</v>
      </c>
      <c r="B295" s="128">
        <f t="shared" si="37"/>
        <v>70</v>
      </c>
      <c r="C295" s="128" t="s">
        <v>1217</v>
      </c>
      <c r="D295" s="128" t="s">
        <v>338</v>
      </c>
      <c r="E295" s="127">
        <v>840</v>
      </c>
      <c r="F295" s="127">
        <v>97103261</v>
      </c>
      <c r="G295" s="127" t="s">
        <v>1856</v>
      </c>
      <c r="H295" s="187"/>
      <c r="I295" s="187"/>
      <c r="P295" t="str">
        <f t="shared" si="38"/>
        <v>MELUN70</v>
      </c>
      <c r="Q295" t="str">
        <f t="shared" si="33"/>
        <v>MERCOU</v>
      </c>
      <c r="R295" t="str">
        <f t="shared" si="34"/>
        <v>Lionel</v>
      </c>
      <c r="S295">
        <f t="shared" si="35"/>
        <v>840</v>
      </c>
      <c r="T295">
        <f t="shared" si="36"/>
        <v>97103261</v>
      </c>
      <c r="U295" t="s">
        <v>1444</v>
      </c>
    </row>
    <row r="296" spans="1:21" hidden="1" x14ac:dyDescent="0.2">
      <c r="A296" s="186" t="s">
        <v>134</v>
      </c>
      <c r="B296" s="128">
        <f t="shared" si="37"/>
        <v>71</v>
      </c>
      <c r="C296" s="128" t="s">
        <v>925</v>
      </c>
      <c r="D296" s="128" t="s">
        <v>461</v>
      </c>
      <c r="E296" s="127">
        <v>500</v>
      </c>
      <c r="F296" s="127">
        <v>97094847</v>
      </c>
      <c r="G296" s="127" t="s">
        <v>1856</v>
      </c>
      <c r="H296" s="187"/>
      <c r="I296" s="187"/>
      <c r="P296" t="str">
        <f t="shared" si="38"/>
        <v>MELUN71</v>
      </c>
      <c r="Q296" t="str">
        <f t="shared" si="33"/>
        <v>MOLNAR</v>
      </c>
      <c r="R296" t="str">
        <f t="shared" si="34"/>
        <v>Matteo</v>
      </c>
      <c r="S296">
        <f t="shared" si="35"/>
        <v>500</v>
      </c>
      <c r="T296">
        <f t="shared" si="36"/>
        <v>97094847</v>
      </c>
      <c r="U296" t="s">
        <v>955</v>
      </c>
    </row>
    <row r="297" spans="1:21" hidden="1" x14ac:dyDescent="0.2">
      <c r="A297" s="186" t="s">
        <v>134</v>
      </c>
      <c r="B297" s="128">
        <f t="shared" si="37"/>
        <v>72</v>
      </c>
      <c r="C297" s="128" t="s">
        <v>1216</v>
      </c>
      <c r="D297" s="128" t="s">
        <v>1322</v>
      </c>
      <c r="E297" s="127">
        <v>500</v>
      </c>
      <c r="F297" s="127">
        <v>97104968</v>
      </c>
      <c r="G297" s="127" t="s">
        <v>1856</v>
      </c>
      <c r="H297" s="187"/>
      <c r="I297" s="187"/>
      <c r="P297" t="str">
        <f t="shared" si="38"/>
        <v>MELUN72</v>
      </c>
      <c r="Q297" t="str">
        <f t="shared" si="33"/>
        <v>MOLOU</v>
      </c>
      <c r="R297" t="str">
        <f t="shared" si="34"/>
        <v>Faeza</v>
      </c>
      <c r="S297">
        <f t="shared" si="35"/>
        <v>500</v>
      </c>
      <c r="T297">
        <f t="shared" si="36"/>
        <v>97104968</v>
      </c>
      <c r="U297" t="s">
        <v>1442</v>
      </c>
    </row>
    <row r="298" spans="1:21" hidden="1" x14ac:dyDescent="0.2">
      <c r="A298" s="186" t="s">
        <v>134</v>
      </c>
      <c r="B298" s="128">
        <f t="shared" si="37"/>
        <v>73</v>
      </c>
      <c r="C298" s="128" t="s">
        <v>1216</v>
      </c>
      <c r="D298" s="128" t="s">
        <v>1268</v>
      </c>
      <c r="E298" s="127">
        <v>500</v>
      </c>
      <c r="F298" s="127">
        <v>97103262</v>
      </c>
      <c r="G298" s="127" t="s">
        <v>1856</v>
      </c>
      <c r="H298" s="187"/>
      <c r="I298" s="187"/>
      <c r="P298" t="str">
        <f t="shared" si="38"/>
        <v>MELUN73</v>
      </c>
      <c r="Q298" t="str">
        <f t="shared" si="33"/>
        <v>MOLOU</v>
      </c>
      <c r="R298" t="str">
        <f t="shared" si="34"/>
        <v>Lihaan</v>
      </c>
      <c r="S298">
        <f t="shared" si="35"/>
        <v>500</v>
      </c>
      <c r="T298">
        <f t="shared" si="36"/>
        <v>97103262</v>
      </c>
      <c r="U298" t="s">
        <v>1443</v>
      </c>
    </row>
    <row r="299" spans="1:21" hidden="1" x14ac:dyDescent="0.2">
      <c r="A299" s="186" t="s">
        <v>134</v>
      </c>
      <c r="B299" s="128">
        <f t="shared" si="37"/>
        <v>74</v>
      </c>
      <c r="C299" s="128" t="s">
        <v>1630</v>
      </c>
      <c r="D299" s="128" t="s">
        <v>672</v>
      </c>
      <c r="E299" s="127">
        <v>500</v>
      </c>
      <c r="F299" s="127">
        <v>87472634</v>
      </c>
      <c r="G299" s="127" t="s">
        <v>1856</v>
      </c>
      <c r="H299" s="187"/>
      <c r="I299" s="187"/>
      <c r="P299" t="str">
        <f t="shared" si="38"/>
        <v>MELUN74</v>
      </c>
      <c r="Q299" t="str">
        <f t="shared" si="33"/>
        <v>MONDOU</v>
      </c>
      <c r="R299" t="str">
        <f t="shared" si="34"/>
        <v>Alexis</v>
      </c>
      <c r="S299">
        <f t="shared" si="35"/>
        <v>500</v>
      </c>
      <c r="T299">
        <f t="shared" si="36"/>
        <v>87472634</v>
      </c>
      <c r="U299" t="s">
        <v>1652</v>
      </c>
    </row>
    <row r="300" spans="1:21" hidden="1" x14ac:dyDescent="0.2">
      <c r="A300" s="186" t="s">
        <v>134</v>
      </c>
      <c r="B300" s="128">
        <f t="shared" si="37"/>
        <v>75</v>
      </c>
      <c r="C300" s="128" t="s">
        <v>1220</v>
      </c>
      <c r="D300" s="128" t="s">
        <v>337</v>
      </c>
      <c r="E300" s="127">
        <v>1729</v>
      </c>
      <c r="F300" s="127">
        <v>87423242</v>
      </c>
      <c r="G300" s="127" t="s">
        <v>1856</v>
      </c>
      <c r="H300" s="187"/>
      <c r="I300" s="187"/>
      <c r="P300" t="str">
        <f t="shared" si="38"/>
        <v>MELUN75</v>
      </c>
      <c r="Q300" t="str">
        <f t="shared" si="33"/>
        <v>MOUROT</v>
      </c>
      <c r="R300" t="str">
        <f t="shared" si="34"/>
        <v>Maxime</v>
      </c>
      <c r="S300">
        <f t="shared" si="35"/>
        <v>1729</v>
      </c>
      <c r="T300">
        <f t="shared" si="36"/>
        <v>87423242</v>
      </c>
      <c r="U300" t="s">
        <v>1447</v>
      </c>
    </row>
    <row r="301" spans="1:21" hidden="1" x14ac:dyDescent="0.2">
      <c r="A301" s="186" t="s">
        <v>134</v>
      </c>
      <c r="B301" s="128">
        <f t="shared" si="37"/>
        <v>76</v>
      </c>
      <c r="C301" s="128" t="s">
        <v>591</v>
      </c>
      <c r="D301" s="128" t="s">
        <v>517</v>
      </c>
      <c r="E301" s="127">
        <v>535</v>
      </c>
      <c r="F301" s="127">
        <v>97076782</v>
      </c>
      <c r="G301" s="127" t="s">
        <v>1643</v>
      </c>
      <c r="H301" s="187"/>
      <c r="I301" s="187"/>
      <c r="P301" t="str">
        <f t="shared" si="38"/>
        <v>MELUN76</v>
      </c>
      <c r="Q301" t="str">
        <f t="shared" si="33"/>
        <v>MUTTER</v>
      </c>
      <c r="R301" t="str">
        <f t="shared" si="34"/>
        <v>Elodie</v>
      </c>
      <c r="S301">
        <f t="shared" si="35"/>
        <v>535</v>
      </c>
      <c r="T301">
        <f t="shared" si="36"/>
        <v>97076782</v>
      </c>
      <c r="U301" t="s">
        <v>592</v>
      </c>
    </row>
    <row r="302" spans="1:21" hidden="1" x14ac:dyDescent="0.2">
      <c r="A302" s="186" t="s">
        <v>134</v>
      </c>
      <c r="B302" s="128">
        <f t="shared" si="37"/>
        <v>77</v>
      </c>
      <c r="C302" s="128" t="s">
        <v>72</v>
      </c>
      <c r="D302" s="128" t="s">
        <v>336</v>
      </c>
      <c r="E302" s="127">
        <v>1166</v>
      </c>
      <c r="F302" s="127">
        <v>6269999</v>
      </c>
      <c r="G302" s="127" t="s">
        <v>1856</v>
      </c>
      <c r="H302" s="187"/>
      <c r="I302" s="187"/>
      <c r="P302" t="str">
        <f t="shared" si="38"/>
        <v>MELUN77</v>
      </c>
      <c r="Q302" t="str">
        <f t="shared" si="33"/>
        <v>NESME</v>
      </c>
      <c r="R302" t="str">
        <f t="shared" si="34"/>
        <v>Bernard</v>
      </c>
      <c r="S302">
        <f t="shared" si="35"/>
        <v>1166</v>
      </c>
      <c r="T302">
        <f t="shared" si="36"/>
        <v>6269999</v>
      </c>
      <c r="U302" t="s">
        <v>197</v>
      </c>
    </row>
    <row r="303" spans="1:21" hidden="1" x14ac:dyDescent="0.2">
      <c r="A303" s="186" t="s">
        <v>134</v>
      </c>
      <c r="B303" s="128">
        <f t="shared" si="37"/>
        <v>78</v>
      </c>
      <c r="C303" s="128" t="s">
        <v>2062</v>
      </c>
      <c r="D303" s="128" t="s">
        <v>2063</v>
      </c>
      <c r="E303" s="127">
        <v>500</v>
      </c>
      <c r="F303" s="127">
        <v>97114075</v>
      </c>
      <c r="G303" s="127" t="s">
        <v>1643</v>
      </c>
      <c r="H303" s="187"/>
      <c r="I303" s="187"/>
      <c r="P303" t="str">
        <f t="shared" si="38"/>
        <v>MELUN78</v>
      </c>
      <c r="Q303" t="str">
        <f t="shared" si="33"/>
        <v>OZER</v>
      </c>
      <c r="R303" t="str">
        <f t="shared" si="34"/>
        <v>Mayra</v>
      </c>
      <c r="S303">
        <f t="shared" si="35"/>
        <v>500</v>
      </c>
      <c r="T303">
        <f t="shared" si="36"/>
        <v>97114075</v>
      </c>
      <c r="U303" t="s">
        <v>2064</v>
      </c>
    </row>
    <row r="304" spans="1:21" hidden="1" x14ac:dyDescent="0.2">
      <c r="A304" s="186" t="s">
        <v>134</v>
      </c>
      <c r="B304" s="128">
        <f t="shared" si="37"/>
        <v>79</v>
      </c>
      <c r="C304" s="128" t="s">
        <v>1197</v>
      </c>
      <c r="D304" s="128" t="s">
        <v>1288</v>
      </c>
      <c r="E304" s="127">
        <v>1282</v>
      </c>
      <c r="F304" s="127">
        <v>97103263</v>
      </c>
      <c r="G304" s="127" t="s">
        <v>1856</v>
      </c>
      <c r="H304" s="187"/>
      <c r="I304" s="187"/>
      <c r="P304" t="str">
        <f t="shared" si="38"/>
        <v>MELUN79</v>
      </c>
      <c r="Q304" t="str">
        <f t="shared" si="33"/>
        <v>PAILLARD</v>
      </c>
      <c r="R304" t="str">
        <f t="shared" si="34"/>
        <v>Kevin</v>
      </c>
      <c r="S304">
        <f t="shared" si="35"/>
        <v>1282</v>
      </c>
      <c r="T304">
        <f t="shared" si="36"/>
        <v>97103263</v>
      </c>
      <c r="U304" t="s">
        <v>1419</v>
      </c>
    </row>
    <row r="305" spans="1:21" hidden="1" x14ac:dyDescent="0.2">
      <c r="A305" s="186" t="s">
        <v>134</v>
      </c>
      <c r="B305" s="128">
        <f t="shared" si="37"/>
        <v>80</v>
      </c>
      <c r="C305" s="128" t="s">
        <v>2042</v>
      </c>
      <c r="D305" s="128" t="s">
        <v>2043</v>
      </c>
      <c r="E305" s="127">
        <v>500</v>
      </c>
      <c r="F305" s="127">
        <v>97113273</v>
      </c>
      <c r="G305" s="127" t="s">
        <v>1643</v>
      </c>
      <c r="H305" s="187"/>
      <c r="I305" s="187"/>
      <c r="P305" t="str">
        <f t="shared" si="38"/>
        <v>MELUN80</v>
      </c>
      <c r="Q305" t="str">
        <f t="shared" si="33"/>
        <v>PARTISOTTI</v>
      </c>
      <c r="R305" t="str">
        <f t="shared" si="34"/>
        <v>Mattia</v>
      </c>
      <c r="S305">
        <f t="shared" si="35"/>
        <v>500</v>
      </c>
      <c r="T305">
        <f t="shared" si="36"/>
        <v>97113273</v>
      </c>
      <c r="U305" t="s">
        <v>2052</v>
      </c>
    </row>
    <row r="306" spans="1:21" hidden="1" x14ac:dyDescent="0.2">
      <c r="A306" s="186" t="s">
        <v>134</v>
      </c>
      <c r="B306" s="128">
        <f t="shared" si="37"/>
        <v>81</v>
      </c>
      <c r="C306" s="128" t="s">
        <v>1192</v>
      </c>
      <c r="D306" s="128" t="s">
        <v>599</v>
      </c>
      <c r="E306" s="127">
        <v>500</v>
      </c>
      <c r="F306" s="127">
        <v>87452146</v>
      </c>
      <c r="G306" s="127" t="s">
        <v>1856</v>
      </c>
      <c r="H306" s="187"/>
      <c r="I306" s="187"/>
      <c r="P306" t="str">
        <f t="shared" si="38"/>
        <v>MELUN81</v>
      </c>
      <c r="Q306" t="str">
        <f t="shared" si="33"/>
        <v>PIGNATELLI</v>
      </c>
      <c r="R306" t="str">
        <f t="shared" si="34"/>
        <v>Lorenzo</v>
      </c>
      <c r="S306">
        <f t="shared" si="35"/>
        <v>500</v>
      </c>
      <c r="T306">
        <f t="shared" si="36"/>
        <v>87452146</v>
      </c>
      <c r="U306" t="s">
        <v>1413</v>
      </c>
    </row>
    <row r="307" spans="1:21" hidden="1" x14ac:dyDescent="0.2">
      <c r="A307" s="186" t="s">
        <v>134</v>
      </c>
      <c r="B307" s="128">
        <f t="shared" si="37"/>
        <v>82</v>
      </c>
      <c r="C307" s="128" t="s">
        <v>1871</v>
      </c>
      <c r="D307" s="128" t="s">
        <v>1271</v>
      </c>
      <c r="E307" s="127">
        <v>500</v>
      </c>
      <c r="F307" s="127">
        <v>97111944</v>
      </c>
      <c r="G307" s="127" t="s">
        <v>1643</v>
      </c>
      <c r="H307" s="187"/>
      <c r="I307" s="187"/>
      <c r="P307" t="str">
        <f t="shared" si="38"/>
        <v>MELUN82</v>
      </c>
      <c r="Q307" t="str">
        <f t="shared" si="33"/>
        <v>PIOLLET</v>
      </c>
      <c r="R307" t="str">
        <f t="shared" si="34"/>
        <v>Arthur</v>
      </c>
      <c r="S307">
        <f t="shared" si="35"/>
        <v>500</v>
      </c>
      <c r="T307">
        <f t="shared" si="36"/>
        <v>97111944</v>
      </c>
      <c r="U307" t="s">
        <v>1872</v>
      </c>
    </row>
    <row r="308" spans="1:21" hidden="1" x14ac:dyDescent="0.2">
      <c r="A308" s="186" t="s">
        <v>134</v>
      </c>
      <c r="B308" s="128">
        <f t="shared" si="37"/>
        <v>83</v>
      </c>
      <c r="C308" s="128" t="s">
        <v>593</v>
      </c>
      <c r="D308" s="128" t="s">
        <v>449</v>
      </c>
      <c r="E308" s="127">
        <v>826</v>
      </c>
      <c r="F308" s="127">
        <v>87429051</v>
      </c>
      <c r="G308" s="127" t="s">
        <v>1643</v>
      </c>
      <c r="H308" s="187"/>
      <c r="I308" s="187"/>
      <c r="P308" t="str">
        <f t="shared" si="38"/>
        <v>MELUN83</v>
      </c>
      <c r="Q308" t="str">
        <f t="shared" si="33"/>
        <v>POUZET</v>
      </c>
      <c r="R308" t="str">
        <f t="shared" si="34"/>
        <v>Nolan</v>
      </c>
      <c r="S308">
        <f t="shared" si="35"/>
        <v>826</v>
      </c>
      <c r="T308">
        <f t="shared" si="36"/>
        <v>87429051</v>
      </c>
      <c r="U308" t="s">
        <v>602</v>
      </c>
    </row>
    <row r="309" spans="1:21" hidden="1" x14ac:dyDescent="0.2">
      <c r="A309" s="186" t="s">
        <v>134</v>
      </c>
      <c r="B309" s="128">
        <f t="shared" si="37"/>
        <v>84</v>
      </c>
      <c r="C309" s="128" t="s">
        <v>1215</v>
      </c>
      <c r="D309" s="128" t="s">
        <v>315</v>
      </c>
      <c r="E309" s="127">
        <v>1343</v>
      </c>
      <c r="F309" s="127">
        <v>53291803</v>
      </c>
      <c r="G309" s="127" t="s">
        <v>1643</v>
      </c>
      <c r="H309" s="187"/>
      <c r="I309" s="187"/>
      <c r="P309" t="str">
        <f t="shared" si="38"/>
        <v>MELUN84</v>
      </c>
      <c r="Q309" t="str">
        <f t="shared" si="33"/>
        <v>PRIGENT</v>
      </c>
      <c r="R309" t="str">
        <f t="shared" si="34"/>
        <v>Antoine</v>
      </c>
      <c r="S309">
        <f t="shared" si="35"/>
        <v>1343</v>
      </c>
      <c r="T309">
        <f t="shared" si="36"/>
        <v>53291803</v>
      </c>
      <c r="U309" t="s">
        <v>1441</v>
      </c>
    </row>
    <row r="310" spans="1:21" hidden="1" x14ac:dyDescent="0.2">
      <c r="A310" s="186" t="s">
        <v>134</v>
      </c>
      <c r="B310" s="128">
        <f t="shared" si="37"/>
        <v>85</v>
      </c>
      <c r="C310" s="128" t="s">
        <v>1214</v>
      </c>
      <c r="D310" s="128" t="s">
        <v>298</v>
      </c>
      <c r="E310" s="127">
        <v>500</v>
      </c>
      <c r="F310" s="127">
        <v>97102587</v>
      </c>
      <c r="G310" s="127" t="s">
        <v>1856</v>
      </c>
      <c r="H310" s="187"/>
      <c r="I310" s="187"/>
      <c r="P310" t="str">
        <f t="shared" si="38"/>
        <v>MELUN85</v>
      </c>
      <c r="Q310" t="str">
        <f t="shared" si="33"/>
        <v>PROSPER</v>
      </c>
      <c r="R310" t="str">
        <f t="shared" si="34"/>
        <v>Christian</v>
      </c>
      <c r="S310">
        <f t="shared" si="35"/>
        <v>500</v>
      </c>
      <c r="T310">
        <f t="shared" si="36"/>
        <v>97102587</v>
      </c>
      <c r="U310" t="s">
        <v>1439</v>
      </c>
    </row>
    <row r="311" spans="1:21" hidden="1" x14ac:dyDescent="0.2">
      <c r="A311" s="186" t="s">
        <v>134</v>
      </c>
      <c r="B311" s="128">
        <f t="shared" si="37"/>
        <v>86</v>
      </c>
      <c r="C311" s="128" t="s">
        <v>1188</v>
      </c>
      <c r="D311" s="128" t="s">
        <v>1305</v>
      </c>
      <c r="E311" s="127">
        <v>500</v>
      </c>
      <c r="F311" s="127">
        <v>97089978</v>
      </c>
      <c r="G311" s="127" t="s">
        <v>1856</v>
      </c>
      <c r="H311" s="187"/>
      <c r="I311" s="187"/>
      <c r="P311" t="str">
        <f t="shared" si="38"/>
        <v>MELUN86</v>
      </c>
      <c r="Q311" t="str">
        <f t="shared" si="33"/>
        <v>PRUD'HOMME</v>
      </c>
      <c r="R311" t="str">
        <f t="shared" si="34"/>
        <v>Juliette</v>
      </c>
      <c r="S311">
        <f t="shared" si="35"/>
        <v>500</v>
      </c>
      <c r="T311">
        <f t="shared" si="36"/>
        <v>97089978</v>
      </c>
      <c r="U311" t="s">
        <v>1408</v>
      </c>
    </row>
    <row r="312" spans="1:21" hidden="1" x14ac:dyDescent="0.2">
      <c r="A312" s="186" t="s">
        <v>134</v>
      </c>
      <c r="B312" s="128">
        <f t="shared" si="37"/>
        <v>87</v>
      </c>
      <c r="C312" s="128" t="s">
        <v>1218</v>
      </c>
      <c r="D312" s="128" t="s">
        <v>661</v>
      </c>
      <c r="E312" s="127">
        <v>589</v>
      </c>
      <c r="F312" s="127">
        <v>97102588</v>
      </c>
      <c r="G312" s="127" t="s">
        <v>1643</v>
      </c>
      <c r="H312" s="187"/>
      <c r="I312" s="187"/>
      <c r="P312" t="str">
        <f t="shared" si="38"/>
        <v>MELUN87</v>
      </c>
      <c r="Q312" t="str">
        <f t="shared" si="33"/>
        <v>QUINTARD</v>
      </c>
      <c r="R312" t="str">
        <f t="shared" si="34"/>
        <v>Enzo</v>
      </c>
      <c r="S312">
        <f t="shared" si="35"/>
        <v>589</v>
      </c>
      <c r="T312">
        <f t="shared" si="36"/>
        <v>97102588</v>
      </c>
      <c r="U312" t="s">
        <v>1445</v>
      </c>
    </row>
    <row r="313" spans="1:21" hidden="1" x14ac:dyDescent="0.2">
      <c r="A313" s="186" t="s">
        <v>134</v>
      </c>
      <c r="B313" s="128">
        <f t="shared" si="37"/>
        <v>88</v>
      </c>
      <c r="C313" s="128" t="s">
        <v>1746</v>
      </c>
      <c r="D313" s="128" t="s">
        <v>1747</v>
      </c>
      <c r="E313" s="127">
        <v>700</v>
      </c>
      <c r="F313" s="127">
        <v>97109928</v>
      </c>
      <c r="G313" s="127" t="s">
        <v>1643</v>
      </c>
      <c r="H313" s="187"/>
      <c r="I313" s="187"/>
      <c r="P313" t="str">
        <f t="shared" si="38"/>
        <v>MELUN88</v>
      </c>
      <c r="Q313" t="str">
        <f t="shared" si="33"/>
        <v>RADOUANI</v>
      </c>
      <c r="R313" t="str">
        <f t="shared" si="34"/>
        <v>Othmane</v>
      </c>
      <c r="S313">
        <f t="shared" si="35"/>
        <v>700</v>
      </c>
      <c r="T313">
        <f t="shared" si="36"/>
        <v>97109928</v>
      </c>
      <c r="U313" t="s">
        <v>1749</v>
      </c>
    </row>
    <row r="314" spans="1:21" hidden="1" x14ac:dyDescent="0.2">
      <c r="A314" s="186" t="s">
        <v>134</v>
      </c>
      <c r="B314" s="128">
        <f t="shared" si="37"/>
        <v>89</v>
      </c>
      <c r="C314" s="128" t="s">
        <v>1201</v>
      </c>
      <c r="D314" s="128" t="s">
        <v>1313</v>
      </c>
      <c r="E314" s="127">
        <v>1089</v>
      </c>
      <c r="F314" s="127">
        <v>97103264</v>
      </c>
      <c r="G314" s="127" t="s">
        <v>1643</v>
      </c>
      <c r="H314" s="187"/>
      <c r="I314" s="187"/>
      <c r="P314" t="str">
        <f t="shared" si="38"/>
        <v>MELUN89</v>
      </c>
      <c r="Q314" t="str">
        <f t="shared" si="33"/>
        <v>RESSORT</v>
      </c>
      <c r="R314" t="str">
        <f t="shared" si="34"/>
        <v>Pierre-Alain</v>
      </c>
      <c r="S314">
        <f t="shared" si="35"/>
        <v>1089</v>
      </c>
      <c r="T314">
        <f t="shared" si="36"/>
        <v>97103264</v>
      </c>
      <c r="U314" t="s">
        <v>1423</v>
      </c>
    </row>
    <row r="315" spans="1:21" hidden="1" x14ac:dyDescent="0.2">
      <c r="A315" s="186" t="s">
        <v>134</v>
      </c>
      <c r="B315" s="128">
        <f t="shared" si="37"/>
        <v>90</v>
      </c>
      <c r="C315" s="128" t="s">
        <v>1185</v>
      </c>
      <c r="D315" s="128" t="s">
        <v>1307</v>
      </c>
      <c r="E315" s="127">
        <v>500</v>
      </c>
      <c r="F315" s="127">
        <v>87421139</v>
      </c>
      <c r="G315" s="127" t="s">
        <v>1856</v>
      </c>
      <c r="H315" s="187"/>
      <c r="I315" s="187"/>
      <c r="P315" t="str">
        <f t="shared" si="38"/>
        <v>MELUN90</v>
      </c>
      <c r="Q315" t="str">
        <f t="shared" si="33"/>
        <v>SCHONBACKLER</v>
      </c>
      <c r="R315" t="str">
        <f t="shared" si="34"/>
        <v>Jonathan</v>
      </c>
      <c r="S315">
        <f t="shared" si="35"/>
        <v>500</v>
      </c>
      <c r="T315">
        <f t="shared" si="36"/>
        <v>87421139</v>
      </c>
      <c r="U315" t="s">
        <v>1412</v>
      </c>
    </row>
    <row r="316" spans="1:21" hidden="1" x14ac:dyDescent="0.2">
      <c r="A316" s="186" t="s">
        <v>134</v>
      </c>
      <c r="B316" s="128">
        <f t="shared" si="37"/>
        <v>91</v>
      </c>
      <c r="C316" s="128" t="s">
        <v>1185</v>
      </c>
      <c r="D316" s="128" t="s">
        <v>867</v>
      </c>
      <c r="E316" s="127">
        <v>500</v>
      </c>
      <c r="F316" s="127">
        <v>97103265</v>
      </c>
      <c r="G316" s="127" t="s">
        <v>1856</v>
      </c>
      <c r="H316" s="187"/>
      <c r="I316" s="187"/>
      <c r="P316" t="str">
        <f t="shared" si="38"/>
        <v>MELUN91</v>
      </c>
      <c r="Q316" t="str">
        <f t="shared" si="33"/>
        <v>SCHONBACKLER</v>
      </c>
      <c r="R316" t="str">
        <f t="shared" si="34"/>
        <v>Leo</v>
      </c>
      <c r="S316">
        <f t="shared" si="35"/>
        <v>500</v>
      </c>
      <c r="T316">
        <f t="shared" si="36"/>
        <v>97103265</v>
      </c>
      <c r="U316" t="s">
        <v>1433</v>
      </c>
    </row>
    <row r="317" spans="1:21" hidden="1" x14ac:dyDescent="0.2">
      <c r="A317" s="186" t="s">
        <v>134</v>
      </c>
      <c r="B317" s="128">
        <f t="shared" si="37"/>
        <v>92</v>
      </c>
      <c r="C317" s="128" t="s">
        <v>1185</v>
      </c>
      <c r="D317" s="128" t="s">
        <v>576</v>
      </c>
      <c r="E317" s="127">
        <v>500</v>
      </c>
      <c r="F317" s="127">
        <v>97072235</v>
      </c>
      <c r="G317" s="127" t="s">
        <v>1856</v>
      </c>
      <c r="H317" s="187"/>
      <c r="I317" s="187"/>
      <c r="P317" t="str">
        <f t="shared" si="38"/>
        <v>MELUN92</v>
      </c>
      <c r="Q317" t="str">
        <f t="shared" si="33"/>
        <v>SCHONBACKLER</v>
      </c>
      <c r="R317" t="str">
        <f t="shared" si="34"/>
        <v>Liam</v>
      </c>
      <c r="S317">
        <f t="shared" si="35"/>
        <v>500</v>
      </c>
      <c r="T317">
        <f t="shared" si="36"/>
        <v>97072235</v>
      </c>
      <c r="U317" t="s">
        <v>1405</v>
      </c>
    </row>
    <row r="318" spans="1:21" hidden="1" x14ac:dyDescent="0.2">
      <c r="A318" s="186" t="s">
        <v>134</v>
      </c>
      <c r="B318" s="128">
        <f t="shared" si="37"/>
        <v>93</v>
      </c>
      <c r="C318" s="128" t="s">
        <v>73</v>
      </c>
      <c r="D318" s="128" t="s">
        <v>1013</v>
      </c>
      <c r="E318" s="127">
        <v>500</v>
      </c>
      <c r="F318" s="127">
        <v>87423238</v>
      </c>
      <c r="G318" s="127" t="s">
        <v>1643</v>
      </c>
      <c r="H318" s="187"/>
      <c r="I318" s="187"/>
      <c r="P318" t="str">
        <f t="shared" si="38"/>
        <v>MELUN93</v>
      </c>
      <c r="Q318" t="str">
        <f t="shared" si="33"/>
        <v>SOUFFLET</v>
      </c>
      <c r="R318" t="str">
        <f t="shared" si="34"/>
        <v>Gwenaelle</v>
      </c>
      <c r="S318">
        <f t="shared" si="35"/>
        <v>500</v>
      </c>
      <c r="T318">
        <f t="shared" si="36"/>
        <v>87423238</v>
      </c>
      <c r="U318" t="s">
        <v>1019</v>
      </c>
    </row>
    <row r="319" spans="1:21" hidden="1" x14ac:dyDescent="0.2">
      <c r="A319" s="186" t="s">
        <v>134</v>
      </c>
      <c r="B319" s="128">
        <f t="shared" si="37"/>
        <v>94</v>
      </c>
      <c r="C319" s="128" t="s">
        <v>73</v>
      </c>
      <c r="D319" s="128" t="s">
        <v>342</v>
      </c>
      <c r="E319" s="127">
        <v>500</v>
      </c>
      <c r="F319" s="127">
        <v>3552935</v>
      </c>
      <c r="G319" s="127" t="s">
        <v>1643</v>
      </c>
      <c r="H319" s="187"/>
      <c r="I319" s="187"/>
      <c r="P319" t="str">
        <f t="shared" si="38"/>
        <v>MELUN94</v>
      </c>
      <c r="Q319" t="str">
        <f t="shared" si="33"/>
        <v>SOUFFLET</v>
      </c>
      <c r="R319" t="str">
        <f t="shared" si="34"/>
        <v>Irene</v>
      </c>
      <c r="S319">
        <f t="shared" si="35"/>
        <v>500</v>
      </c>
      <c r="T319">
        <f t="shared" si="36"/>
        <v>3552935</v>
      </c>
      <c r="U319" t="s">
        <v>198</v>
      </c>
    </row>
    <row r="320" spans="1:21" hidden="1" x14ac:dyDescent="0.2">
      <c r="A320" s="186" t="s">
        <v>134</v>
      </c>
      <c r="B320" s="128">
        <f t="shared" si="37"/>
        <v>95</v>
      </c>
      <c r="C320" s="128" t="s">
        <v>1223</v>
      </c>
      <c r="D320" s="128" t="s">
        <v>1323</v>
      </c>
      <c r="E320" s="127">
        <v>500</v>
      </c>
      <c r="F320" s="127">
        <v>87449910</v>
      </c>
      <c r="G320" s="127" t="s">
        <v>1643</v>
      </c>
      <c r="H320" s="187"/>
      <c r="I320" s="187"/>
      <c r="P320" t="str">
        <f t="shared" si="38"/>
        <v>MELUN95</v>
      </c>
      <c r="Q320" t="str">
        <f t="shared" si="33"/>
        <v>SOZUAN</v>
      </c>
      <c r="R320" t="str">
        <f t="shared" si="34"/>
        <v>Leandre</v>
      </c>
      <c r="S320">
        <f t="shared" si="35"/>
        <v>500</v>
      </c>
      <c r="T320">
        <f t="shared" si="36"/>
        <v>87449910</v>
      </c>
      <c r="U320" t="s">
        <v>1450</v>
      </c>
    </row>
    <row r="321" spans="1:21" hidden="1" x14ac:dyDescent="0.2">
      <c r="A321" s="186" t="s">
        <v>134</v>
      </c>
      <c r="B321" s="128">
        <f t="shared" si="37"/>
        <v>96</v>
      </c>
      <c r="C321" s="128" t="s">
        <v>1223</v>
      </c>
      <c r="D321" s="128" t="s">
        <v>2069</v>
      </c>
      <c r="E321" s="127">
        <v>500</v>
      </c>
      <c r="F321" s="127">
        <v>97114076</v>
      </c>
      <c r="G321" s="127" t="s">
        <v>1643</v>
      </c>
      <c r="H321" s="187"/>
      <c r="I321" s="187"/>
      <c r="P321" t="str">
        <f t="shared" si="38"/>
        <v>MELUN96</v>
      </c>
      <c r="Q321" t="str">
        <f t="shared" si="33"/>
        <v>SOZUAN</v>
      </c>
      <c r="R321" t="str">
        <f t="shared" si="34"/>
        <v>Neil</v>
      </c>
      <c r="S321">
        <f t="shared" si="35"/>
        <v>500</v>
      </c>
      <c r="T321">
        <f t="shared" si="36"/>
        <v>97114076</v>
      </c>
      <c r="U321" t="s">
        <v>2070</v>
      </c>
    </row>
    <row r="322" spans="1:21" hidden="1" x14ac:dyDescent="0.2">
      <c r="A322" s="186" t="s">
        <v>134</v>
      </c>
      <c r="B322" s="128">
        <f t="shared" si="37"/>
        <v>97</v>
      </c>
      <c r="C322" s="128" t="s">
        <v>1196</v>
      </c>
      <c r="D322" s="128" t="s">
        <v>1309</v>
      </c>
      <c r="E322" s="127">
        <v>500</v>
      </c>
      <c r="F322" s="127">
        <v>97103266</v>
      </c>
      <c r="G322" s="127" t="s">
        <v>1856</v>
      </c>
      <c r="H322" s="187"/>
      <c r="I322" s="187"/>
      <c r="P322" t="str">
        <f t="shared" si="38"/>
        <v>MELUN97</v>
      </c>
      <c r="Q322" t="str">
        <f t="shared" si="33"/>
        <v>TALLON</v>
      </c>
      <c r="R322" t="str">
        <f t="shared" si="34"/>
        <v>Sandrine</v>
      </c>
      <c r="S322">
        <f t="shared" si="35"/>
        <v>500</v>
      </c>
      <c r="T322">
        <f t="shared" si="36"/>
        <v>97103266</v>
      </c>
      <c r="U322" t="s">
        <v>1417</v>
      </c>
    </row>
    <row r="323" spans="1:21" hidden="1" x14ac:dyDescent="0.2">
      <c r="A323" s="186" t="s">
        <v>134</v>
      </c>
      <c r="B323" s="128">
        <f t="shared" si="37"/>
        <v>98</v>
      </c>
      <c r="C323" s="128" t="s">
        <v>1205</v>
      </c>
      <c r="D323" s="128" t="s">
        <v>1316</v>
      </c>
      <c r="E323" s="127">
        <v>500</v>
      </c>
      <c r="F323" s="127">
        <v>97103267</v>
      </c>
      <c r="G323" s="127" t="s">
        <v>1856</v>
      </c>
      <c r="H323" s="187"/>
      <c r="I323" s="187"/>
      <c r="P323" t="str">
        <f t="shared" si="38"/>
        <v>MELUN98</v>
      </c>
      <c r="Q323" t="str">
        <f t="shared" si="33"/>
        <v>TAVARES SEMENO</v>
      </c>
      <c r="R323" t="str">
        <f t="shared" si="34"/>
        <v>Edna Maria</v>
      </c>
      <c r="S323">
        <f t="shared" si="35"/>
        <v>500</v>
      </c>
      <c r="T323">
        <f t="shared" si="36"/>
        <v>97103267</v>
      </c>
      <c r="U323" t="s">
        <v>1427</v>
      </c>
    </row>
    <row r="324" spans="1:21" hidden="1" x14ac:dyDescent="0.2">
      <c r="A324" s="186" t="s">
        <v>134</v>
      </c>
      <c r="B324" s="128">
        <f t="shared" si="37"/>
        <v>99</v>
      </c>
      <c r="C324" s="128" t="s">
        <v>747</v>
      </c>
      <c r="D324" s="128" t="s">
        <v>762</v>
      </c>
      <c r="E324" s="127">
        <v>588</v>
      </c>
      <c r="F324" s="127">
        <v>97088488</v>
      </c>
      <c r="G324" s="127" t="s">
        <v>1643</v>
      </c>
      <c r="H324" s="187"/>
      <c r="I324" s="187"/>
      <c r="P324" t="str">
        <f t="shared" si="38"/>
        <v>MELUN99</v>
      </c>
      <c r="Q324" t="str">
        <f t="shared" si="33"/>
        <v>THILLAUX</v>
      </c>
      <c r="R324" t="str">
        <f t="shared" si="34"/>
        <v>Nolhan</v>
      </c>
      <c r="S324">
        <f t="shared" si="35"/>
        <v>588</v>
      </c>
      <c r="T324">
        <f t="shared" si="36"/>
        <v>97088488</v>
      </c>
      <c r="U324" t="s">
        <v>780</v>
      </c>
    </row>
    <row r="325" spans="1:21" hidden="1" x14ac:dyDescent="0.2">
      <c r="A325" s="186" t="s">
        <v>134</v>
      </c>
      <c r="B325" s="128">
        <f t="shared" si="37"/>
        <v>100</v>
      </c>
      <c r="C325" s="128" t="s">
        <v>748</v>
      </c>
      <c r="D325" s="128" t="s">
        <v>763</v>
      </c>
      <c r="E325" s="127">
        <v>500</v>
      </c>
      <c r="F325" s="127">
        <v>97088069</v>
      </c>
      <c r="G325" s="127" t="s">
        <v>1856</v>
      </c>
      <c r="H325" s="187"/>
      <c r="I325" s="187"/>
      <c r="P325" t="str">
        <f t="shared" si="38"/>
        <v>MELUN100</v>
      </c>
      <c r="Q325" t="str">
        <f t="shared" si="33"/>
        <v>THORET LESESTRE</v>
      </c>
      <c r="R325" t="str">
        <f t="shared" si="34"/>
        <v>Theo</v>
      </c>
      <c r="S325">
        <f t="shared" si="35"/>
        <v>500</v>
      </c>
      <c r="T325">
        <f t="shared" si="36"/>
        <v>97088069</v>
      </c>
      <c r="U325" t="s">
        <v>781</v>
      </c>
    </row>
    <row r="326" spans="1:21" hidden="1" x14ac:dyDescent="0.2">
      <c r="A326" s="186" t="s">
        <v>134</v>
      </c>
      <c r="B326" s="128">
        <f t="shared" si="37"/>
        <v>101</v>
      </c>
      <c r="C326" s="128" t="s">
        <v>1187</v>
      </c>
      <c r="D326" s="128" t="s">
        <v>320</v>
      </c>
      <c r="E326" s="127">
        <v>500</v>
      </c>
      <c r="F326" s="127">
        <v>97102464</v>
      </c>
      <c r="G326" s="127" t="s">
        <v>1643</v>
      </c>
      <c r="H326" s="187"/>
      <c r="I326" s="187"/>
      <c r="P326" t="str">
        <f t="shared" si="38"/>
        <v>MELUN101</v>
      </c>
      <c r="Q326" t="str">
        <f t="shared" si="33"/>
        <v>TOUPENCE</v>
      </c>
      <c r="R326" t="str">
        <f t="shared" si="34"/>
        <v>Mathieu</v>
      </c>
      <c r="S326">
        <f t="shared" si="35"/>
        <v>500</v>
      </c>
      <c r="T326">
        <f t="shared" si="36"/>
        <v>97102464</v>
      </c>
      <c r="U326" t="s">
        <v>1407</v>
      </c>
    </row>
    <row r="327" spans="1:21" hidden="1" x14ac:dyDescent="0.2">
      <c r="A327" s="186" t="s">
        <v>134</v>
      </c>
      <c r="B327" s="128">
        <f t="shared" si="37"/>
        <v>102</v>
      </c>
      <c r="C327" s="128" t="s">
        <v>441</v>
      </c>
      <c r="D327" s="128" t="s">
        <v>283</v>
      </c>
      <c r="E327" s="127">
        <v>1063</v>
      </c>
      <c r="F327" s="127">
        <v>97057176</v>
      </c>
      <c r="G327" s="127" t="s">
        <v>1643</v>
      </c>
      <c r="H327" s="187"/>
      <c r="I327" s="187"/>
      <c r="P327" t="str">
        <f t="shared" si="38"/>
        <v>MELUN102</v>
      </c>
      <c r="Q327" t="str">
        <f t="shared" si="33"/>
        <v>VARENGUIN</v>
      </c>
      <c r="R327" t="str">
        <f t="shared" si="34"/>
        <v>Pierre</v>
      </c>
      <c r="S327">
        <f t="shared" si="35"/>
        <v>1063</v>
      </c>
      <c r="T327">
        <f t="shared" si="36"/>
        <v>97057176</v>
      </c>
      <c r="U327" t="s">
        <v>537</v>
      </c>
    </row>
    <row r="328" spans="1:21" hidden="1" x14ac:dyDescent="0.2">
      <c r="A328" s="186" t="s">
        <v>134</v>
      </c>
      <c r="B328" s="128">
        <f t="shared" si="37"/>
        <v>103</v>
      </c>
      <c r="C328" s="128" t="s">
        <v>1222</v>
      </c>
      <c r="D328" s="128" t="s">
        <v>322</v>
      </c>
      <c r="E328" s="127">
        <v>500</v>
      </c>
      <c r="F328" s="127">
        <v>87451675</v>
      </c>
      <c r="G328" s="127" t="s">
        <v>1856</v>
      </c>
      <c r="H328" s="187"/>
      <c r="I328" s="187"/>
      <c r="P328" t="str">
        <f t="shared" si="38"/>
        <v>MELUN103</v>
      </c>
      <c r="Q328" t="str">
        <f t="shared" ref="Q328:Q391" si="39">C328</f>
        <v>WEBER</v>
      </c>
      <c r="R328" t="str">
        <f t="shared" ref="R328:R391" si="40">D328</f>
        <v>Nathan</v>
      </c>
      <c r="S328">
        <f t="shared" ref="S328:S391" si="41">E328</f>
        <v>500</v>
      </c>
      <c r="T328">
        <f t="shared" ref="T328:T391" si="42">F328</f>
        <v>87451675</v>
      </c>
      <c r="U328" t="s">
        <v>1449</v>
      </c>
    </row>
    <row r="329" spans="1:21" hidden="1" x14ac:dyDescent="0.2">
      <c r="A329" s="186" t="s">
        <v>134</v>
      </c>
      <c r="B329" s="128">
        <f t="shared" si="37"/>
        <v>104</v>
      </c>
      <c r="C329" s="128" t="s">
        <v>926</v>
      </c>
      <c r="D329" s="128" t="s">
        <v>942</v>
      </c>
      <c r="E329" s="127">
        <v>560</v>
      </c>
      <c r="F329" s="127">
        <v>97094848</v>
      </c>
      <c r="G329" s="127" t="s">
        <v>1643</v>
      </c>
      <c r="H329" s="187"/>
      <c r="I329" s="187"/>
      <c r="P329" t="str">
        <f t="shared" si="38"/>
        <v>MELUN104</v>
      </c>
      <c r="Q329" t="str">
        <f t="shared" si="39"/>
        <v>YAKPOVI</v>
      </c>
      <c r="R329" t="str">
        <f t="shared" si="40"/>
        <v>Elias</v>
      </c>
      <c r="S329">
        <f t="shared" si="41"/>
        <v>560</v>
      </c>
      <c r="T329">
        <f t="shared" si="42"/>
        <v>97094848</v>
      </c>
      <c r="U329" t="s">
        <v>956</v>
      </c>
    </row>
    <row r="330" spans="1:21" hidden="1" x14ac:dyDescent="0.2">
      <c r="A330" s="186" t="s">
        <v>134</v>
      </c>
      <c r="B330" s="128">
        <f t="shared" si="37"/>
        <v>105</v>
      </c>
      <c r="C330" s="128" t="s">
        <v>1631</v>
      </c>
      <c r="D330" s="128" t="s">
        <v>1640</v>
      </c>
      <c r="E330" s="127">
        <v>508</v>
      </c>
      <c r="F330" s="127">
        <v>97082350</v>
      </c>
      <c r="G330" s="127" t="s">
        <v>1643</v>
      </c>
      <c r="H330" s="187"/>
      <c r="I330" s="187"/>
      <c r="P330" t="str">
        <f t="shared" si="38"/>
        <v>MELUN105</v>
      </c>
      <c r="Q330" t="str">
        <f t="shared" si="39"/>
        <v>YILMAZ</v>
      </c>
      <c r="R330" t="str">
        <f t="shared" si="40"/>
        <v>Erwan</v>
      </c>
      <c r="S330">
        <f t="shared" si="41"/>
        <v>508</v>
      </c>
      <c r="T330">
        <f t="shared" si="42"/>
        <v>97082350</v>
      </c>
      <c r="U330" t="s">
        <v>1653</v>
      </c>
    </row>
    <row r="331" spans="1:21" hidden="1" x14ac:dyDescent="0.2">
      <c r="A331" s="186" t="s">
        <v>134</v>
      </c>
      <c r="B331" s="128">
        <f t="shared" si="37"/>
        <v>106</v>
      </c>
      <c r="C331" s="128" t="s">
        <v>1190</v>
      </c>
      <c r="D331" s="128" t="s">
        <v>1310</v>
      </c>
      <c r="E331" s="127">
        <v>500</v>
      </c>
      <c r="F331" s="127">
        <v>97103268</v>
      </c>
      <c r="G331" s="127" t="s">
        <v>1856</v>
      </c>
      <c r="H331" s="187"/>
      <c r="I331" s="187"/>
      <c r="P331" t="str">
        <f t="shared" si="38"/>
        <v>MELUN106</v>
      </c>
      <c r="Q331" t="str">
        <f t="shared" si="39"/>
        <v>ZERIBA</v>
      </c>
      <c r="R331" t="str">
        <f t="shared" si="40"/>
        <v>Salmane</v>
      </c>
      <c r="S331">
        <f t="shared" si="41"/>
        <v>500</v>
      </c>
      <c r="T331">
        <f t="shared" si="42"/>
        <v>97103268</v>
      </c>
      <c r="U331" t="s">
        <v>1418</v>
      </c>
    </row>
    <row r="332" spans="1:21" hidden="1" x14ac:dyDescent="0.2">
      <c r="A332" s="186" t="s">
        <v>134</v>
      </c>
      <c r="B332" s="128">
        <f t="shared" si="37"/>
        <v>107</v>
      </c>
      <c r="C332" s="128" t="s">
        <v>1190</v>
      </c>
      <c r="D332" s="128" t="s">
        <v>1306</v>
      </c>
      <c r="E332" s="127">
        <v>500</v>
      </c>
      <c r="F332" s="127">
        <v>97103269</v>
      </c>
      <c r="G332" s="127" t="s">
        <v>1856</v>
      </c>
      <c r="H332" s="187"/>
      <c r="I332" s="187"/>
      <c r="P332" t="str">
        <f t="shared" si="38"/>
        <v>MELUN107</v>
      </c>
      <c r="Q332" t="str">
        <f t="shared" si="39"/>
        <v>ZERIBA</v>
      </c>
      <c r="R332" t="str">
        <f t="shared" si="40"/>
        <v>Zayd</v>
      </c>
      <c r="S332">
        <f t="shared" si="41"/>
        <v>500</v>
      </c>
      <c r="T332">
        <f t="shared" si="42"/>
        <v>97103269</v>
      </c>
      <c r="U332" t="s">
        <v>1410</v>
      </c>
    </row>
    <row r="333" spans="1:21" hidden="1" x14ac:dyDescent="0.2">
      <c r="A333" s="186" t="s">
        <v>495</v>
      </c>
      <c r="B333" s="128">
        <f t="shared" si="37"/>
        <v>1</v>
      </c>
      <c r="C333" s="128" t="s">
        <v>842</v>
      </c>
      <c r="D333" s="128" t="s">
        <v>867</v>
      </c>
      <c r="E333" s="127">
        <v>1707</v>
      </c>
      <c r="F333" s="127">
        <v>97093937</v>
      </c>
      <c r="G333" s="127" t="s">
        <v>1643</v>
      </c>
      <c r="H333" s="187"/>
      <c r="I333" s="187"/>
      <c r="P333" t="str">
        <f t="shared" si="38"/>
        <v>MONTHYON1</v>
      </c>
      <c r="Q333" t="str">
        <f t="shared" si="39"/>
        <v>BEJANNIN</v>
      </c>
      <c r="R333" t="str">
        <f t="shared" si="40"/>
        <v>Leo</v>
      </c>
      <c r="S333">
        <f t="shared" si="41"/>
        <v>1707</v>
      </c>
      <c r="T333">
        <f t="shared" si="42"/>
        <v>97093937</v>
      </c>
      <c r="U333" t="s">
        <v>1515</v>
      </c>
    </row>
    <row r="334" spans="1:21" hidden="1" x14ac:dyDescent="0.2">
      <c r="A334" s="186" t="s">
        <v>495</v>
      </c>
      <c r="B334" s="128">
        <f t="shared" si="37"/>
        <v>2</v>
      </c>
      <c r="C334" s="128" t="s">
        <v>1796</v>
      </c>
      <c r="D334" s="128" t="s">
        <v>309</v>
      </c>
      <c r="E334" s="127">
        <v>1038</v>
      </c>
      <c r="F334" s="127">
        <v>97109689</v>
      </c>
      <c r="G334" s="127" t="s">
        <v>1643</v>
      </c>
      <c r="H334" s="187"/>
      <c r="I334" s="187"/>
      <c r="P334" t="str">
        <f t="shared" si="38"/>
        <v>MONTHYON2</v>
      </c>
      <c r="Q334" t="str">
        <f t="shared" si="39"/>
        <v>BESANA</v>
      </c>
      <c r="R334" t="str">
        <f t="shared" si="40"/>
        <v>Thierry</v>
      </c>
      <c r="S334">
        <f t="shared" si="41"/>
        <v>1038</v>
      </c>
      <c r="T334">
        <f t="shared" si="42"/>
        <v>97109689</v>
      </c>
      <c r="U334" t="s">
        <v>1832</v>
      </c>
    </row>
    <row r="335" spans="1:21" hidden="1" x14ac:dyDescent="0.2">
      <c r="A335" s="186" t="s">
        <v>495</v>
      </c>
      <c r="B335" s="128">
        <f t="shared" si="37"/>
        <v>3</v>
      </c>
      <c r="C335" s="128" t="s">
        <v>679</v>
      </c>
      <c r="D335" s="128" t="s">
        <v>680</v>
      </c>
      <c r="E335" s="127">
        <v>884</v>
      </c>
      <c r="F335" s="127">
        <v>97083249</v>
      </c>
      <c r="G335" s="127" t="s">
        <v>1643</v>
      </c>
      <c r="H335" s="187"/>
      <c r="I335" s="187"/>
      <c r="P335" t="str">
        <f t="shared" si="38"/>
        <v>MONTHYON3</v>
      </c>
      <c r="Q335" t="str">
        <f t="shared" si="39"/>
        <v>BOIS</v>
      </c>
      <c r="R335" t="str">
        <f t="shared" si="40"/>
        <v>Mélanie</v>
      </c>
      <c r="S335">
        <f t="shared" si="41"/>
        <v>884</v>
      </c>
      <c r="T335">
        <f t="shared" si="42"/>
        <v>97083249</v>
      </c>
      <c r="U335" t="s">
        <v>681</v>
      </c>
    </row>
    <row r="336" spans="1:21" hidden="1" x14ac:dyDescent="0.2">
      <c r="A336" s="186" t="s">
        <v>495</v>
      </c>
      <c r="B336" s="128">
        <f t="shared" si="37"/>
        <v>4</v>
      </c>
      <c r="C336" s="128" t="s">
        <v>838</v>
      </c>
      <c r="D336" s="128" t="s">
        <v>639</v>
      </c>
      <c r="E336" s="127">
        <v>1478</v>
      </c>
      <c r="F336" s="127">
        <v>97094052</v>
      </c>
      <c r="G336" s="127" t="s">
        <v>1856</v>
      </c>
      <c r="H336" s="187"/>
      <c r="I336" s="187"/>
      <c r="P336" t="str">
        <f t="shared" si="38"/>
        <v>MONTHYON4</v>
      </c>
      <c r="Q336" t="str">
        <f t="shared" si="39"/>
        <v>CHARLOT</v>
      </c>
      <c r="R336" t="str">
        <f t="shared" si="40"/>
        <v>Sébastien</v>
      </c>
      <c r="S336">
        <f t="shared" si="41"/>
        <v>1478</v>
      </c>
      <c r="T336">
        <f t="shared" si="42"/>
        <v>97094052</v>
      </c>
      <c r="U336" t="s">
        <v>920</v>
      </c>
    </row>
    <row r="337" spans="1:21" hidden="1" x14ac:dyDescent="0.2">
      <c r="A337" s="186" t="s">
        <v>495</v>
      </c>
      <c r="B337" s="128">
        <f t="shared" si="37"/>
        <v>5</v>
      </c>
      <c r="C337" s="128" t="s">
        <v>976</v>
      </c>
      <c r="D337" s="128" t="s">
        <v>981</v>
      </c>
      <c r="E337" s="127">
        <v>1034</v>
      </c>
      <c r="F337" s="127">
        <v>97096461</v>
      </c>
      <c r="G337" s="127" t="s">
        <v>1856</v>
      </c>
      <c r="H337" s="187"/>
      <c r="I337" s="187"/>
      <c r="P337" t="str">
        <f t="shared" si="38"/>
        <v>MONTHYON5</v>
      </c>
      <c r="Q337" t="str">
        <f t="shared" si="39"/>
        <v>CHOFFARDET</v>
      </c>
      <c r="R337" t="str">
        <f t="shared" si="40"/>
        <v>Stéphanie</v>
      </c>
      <c r="S337">
        <f t="shared" si="41"/>
        <v>1034</v>
      </c>
      <c r="T337">
        <f t="shared" si="42"/>
        <v>97096461</v>
      </c>
      <c r="U337" t="s">
        <v>988</v>
      </c>
    </row>
    <row r="338" spans="1:21" hidden="1" x14ac:dyDescent="0.2">
      <c r="A338" s="186" t="s">
        <v>495</v>
      </c>
      <c r="B338" s="128">
        <f t="shared" si="37"/>
        <v>6</v>
      </c>
      <c r="C338" s="128" t="s">
        <v>837</v>
      </c>
      <c r="D338" s="128" t="s">
        <v>448</v>
      </c>
      <c r="E338" s="127">
        <v>1223</v>
      </c>
      <c r="F338" s="127">
        <v>97091286</v>
      </c>
      <c r="G338" s="127" t="s">
        <v>1643</v>
      </c>
      <c r="H338" s="187"/>
      <c r="I338" s="187"/>
      <c r="P338" t="str">
        <f t="shared" si="38"/>
        <v>MONTHYON6</v>
      </c>
      <c r="Q338" t="str">
        <f t="shared" si="39"/>
        <v>DHELIN</v>
      </c>
      <c r="R338" t="str">
        <f t="shared" si="40"/>
        <v>Stéphane</v>
      </c>
      <c r="S338">
        <f t="shared" si="41"/>
        <v>1223</v>
      </c>
      <c r="T338">
        <f t="shared" si="42"/>
        <v>97091286</v>
      </c>
      <c r="U338" t="s">
        <v>919</v>
      </c>
    </row>
    <row r="339" spans="1:21" hidden="1" x14ac:dyDescent="0.2">
      <c r="A339" s="186" t="s">
        <v>495</v>
      </c>
      <c r="B339" s="128">
        <f t="shared" si="37"/>
        <v>7</v>
      </c>
      <c r="C339" s="128" t="s">
        <v>977</v>
      </c>
      <c r="D339" s="128" t="s">
        <v>982</v>
      </c>
      <c r="E339" s="127">
        <v>945</v>
      </c>
      <c r="F339" s="127">
        <v>97098757</v>
      </c>
      <c r="G339" s="127" t="s">
        <v>1643</v>
      </c>
      <c r="H339" s="187"/>
      <c r="I339" s="187"/>
      <c r="P339" t="str">
        <f t="shared" si="38"/>
        <v>MONTHYON7</v>
      </c>
      <c r="Q339" t="str">
        <f t="shared" si="39"/>
        <v>DJILGHIR</v>
      </c>
      <c r="R339" t="str">
        <f t="shared" si="40"/>
        <v>Melica</v>
      </c>
      <c r="S339">
        <f t="shared" si="41"/>
        <v>945</v>
      </c>
      <c r="T339">
        <f t="shared" si="42"/>
        <v>97098757</v>
      </c>
      <c r="U339" t="s">
        <v>989</v>
      </c>
    </row>
    <row r="340" spans="1:21" hidden="1" x14ac:dyDescent="0.2">
      <c r="A340" s="186" t="s">
        <v>495</v>
      </c>
      <c r="B340" s="128">
        <f t="shared" si="37"/>
        <v>8</v>
      </c>
      <c r="C340" s="128" t="s">
        <v>1160</v>
      </c>
      <c r="D340" s="128" t="s">
        <v>1286</v>
      </c>
      <c r="E340" s="127">
        <v>1675</v>
      </c>
      <c r="F340" s="127">
        <v>97103028</v>
      </c>
      <c r="G340" s="127" t="s">
        <v>1643</v>
      </c>
      <c r="H340" s="187"/>
      <c r="I340" s="187"/>
      <c r="P340" t="str">
        <f t="shared" si="38"/>
        <v>MONTHYON8</v>
      </c>
      <c r="Q340" t="str">
        <f t="shared" si="39"/>
        <v>DOUBLET</v>
      </c>
      <c r="R340" t="str">
        <f t="shared" si="40"/>
        <v>Stephen</v>
      </c>
      <c r="S340">
        <f t="shared" si="41"/>
        <v>1675</v>
      </c>
      <c r="T340">
        <f t="shared" si="42"/>
        <v>97103028</v>
      </c>
      <c r="U340" t="s">
        <v>1378</v>
      </c>
    </row>
    <row r="341" spans="1:21" hidden="1" x14ac:dyDescent="0.2">
      <c r="A341" s="186" t="s">
        <v>495</v>
      </c>
      <c r="B341" s="128">
        <f t="shared" si="37"/>
        <v>9</v>
      </c>
      <c r="C341" s="128" t="s">
        <v>929</v>
      </c>
      <c r="D341" s="128" t="s">
        <v>800</v>
      </c>
      <c r="E341" s="127">
        <v>1575</v>
      </c>
      <c r="F341" s="127">
        <v>97094709</v>
      </c>
      <c r="G341" s="127" t="s">
        <v>1643</v>
      </c>
      <c r="H341" s="187"/>
      <c r="I341" s="187"/>
      <c r="P341" t="str">
        <f t="shared" si="38"/>
        <v>MONTHYON9</v>
      </c>
      <c r="Q341" t="str">
        <f t="shared" si="39"/>
        <v>GICQUEL</v>
      </c>
      <c r="R341" t="str">
        <f t="shared" si="40"/>
        <v>Erwann</v>
      </c>
      <c r="S341">
        <f t="shared" si="41"/>
        <v>1575</v>
      </c>
      <c r="T341">
        <f t="shared" si="42"/>
        <v>97094709</v>
      </c>
      <c r="U341" t="s">
        <v>959</v>
      </c>
    </row>
    <row r="342" spans="1:21" hidden="1" x14ac:dyDescent="0.2">
      <c r="A342" s="186" t="s">
        <v>495</v>
      </c>
      <c r="B342" s="128">
        <f t="shared" si="37"/>
        <v>10</v>
      </c>
      <c r="C342" s="128" t="s">
        <v>1792</v>
      </c>
      <c r="D342" s="128" t="s">
        <v>1793</v>
      </c>
      <c r="E342" s="127">
        <v>1024</v>
      </c>
      <c r="F342" s="127">
        <v>97109690</v>
      </c>
      <c r="G342" s="127" t="s">
        <v>1643</v>
      </c>
      <c r="H342" s="187"/>
      <c r="I342" s="187"/>
      <c r="P342" t="str">
        <f t="shared" si="38"/>
        <v>MONTHYON10</v>
      </c>
      <c r="Q342" t="str">
        <f t="shared" si="39"/>
        <v>KHOUAS</v>
      </c>
      <c r="R342" t="str">
        <f t="shared" si="40"/>
        <v>Mike</v>
      </c>
      <c r="S342">
        <f t="shared" si="41"/>
        <v>1024</v>
      </c>
      <c r="T342">
        <f t="shared" si="42"/>
        <v>97109690</v>
      </c>
      <c r="U342" t="s">
        <v>1833</v>
      </c>
    </row>
    <row r="343" spans="1:21" hidden="1" x14ac:dyDescent="0.2">
      <c r="A343" s="186" t="s">
        <v>495</v>
      </c>
      <c r="B343" s="128">
        <f t="shared" si="37"/>
        <v>11</v>
      </c>
      <c r="C343" s="128" t="s">
        <v>839</v>
      </c>
      <c r="D343" s="128" t="s">
        <v>864</v>
      </c>
      <c r="E343" s="127">
        <v>983</v>
      </c>
      <c r="F343" s="127">
        <v>97091285</v>
      </c>
      <c r="G343" s="127" t="s">
        <v>1643</v>
      </c>
      <c r="H343" s="187"/>
      <c r="I343" s="187"/>
      <c r="P343" t="str">
        <f t="shared" si="38"/>
        <v>MONTHYON11</v>
      </c>
      <c r="Q343" t="str">
        <f t="shared" si="39"/>
        <v>LEONARD</v>
      </c>
      <c r="R343" t="str">
        <f t="shared" si="40"/>
        <v>Cécile</v>
      </c>
      <c r="S343">
        <f t="shared" si="41"/>
        <v>983</v>
      </c>
      <c r="T343">
        <f t="shared" si="42"/>
        <v>97091285</v>
      </c>
      <c r="U343" t="s">
        <v>921</v>
      </c>
    </row>
    <row r="344" spans="1:21" hidden="1" x14ac:dyDescent="0.2">
      <c r="A344" s="186" t="s">
        <v>495</v>
      </c>
      <c r="B344" s="128">
        <f t="shared" si="37"/>
        <v>12</v>
      </c>
      <c r="C344" s="128" t="s">
        <v>841</v>
      </c>
      <c r="D344" s="128" t="s">
        <v>625</v>
      </c>
      <c r="E344" s="127">
        <v>1029</v>
      </c>
      <c r="F344" s="127">
        <v>97092069</v>
      </c>
      <c r="G344" s="127" t="s">
        <v>1856</v>
      </c>
      <c r="H344" s="187"/>
      <c r="I344" s="187"/>
      <c r="P344" t="str">
        <f t="shared" si="38"/>
        <v>MONTHYON12</v>
      </c>
      <c r="Q344" t="str">
        <f t="shared" si="39"/>
        <v>LODOTCHNIKOFF</v>
      </c>
      <c r="R344" t="str">
        <f t="shared" si="40"/>
        <v>Dimitri</v>
      </c>
      <c r="S344">
        <f t="shared" si="41"/>
        <v>1029</v>
      </c>
      <c r="T344">
        <f t="shared" si="42"/>
        <v>97092069</v>
      </c>
      <c r="U344" t="s">
        <v>899</v>
      </c>
    </row>
    <row r="345" spans="1:21" hidden="1" x14ac:dyDescent="0.2">
      <c r="A345" s="186" t="s">
        <v>495</v>
      </c>
      <c r="B345" s="128">
        <f t="shared" si="37"/>
        <v>13</v>
      </c>
      <c r="C345" s="128" t="s">
        <v>840</v>
      </c>
      <c r="D345" s="128" t="s">
        <v>865</v>
      </c>
      <c r="E345" s="127">
        <v>1070</v>
      </c>
      <c r="F345" s="127">
        <v>97093938</v>
      </c>
      <c r="G345" s="127" t="s">
        <v>1643</v>
      </c>
      <c r="H345" s="187"/>
      <c r="I345" s="187"/>
      <c r="P345" t="str">
        <f t="shared" si="38"/>
        <v>MONTHYON13</v>
      </c>
      <c r="Q345" t="str">
        <f t="shared" si="39"/>
        <v>LUU</v>
      </c>
      <c r="R345" t="str">
        <f t="shared" si="40"/>
        <v>Duc Nhan</v>
      </c>
      <c r="S345">
        <f t="shared" si="41"/>
        <v>1070</v>
      </c>
      <c r="T345">
        <f t="shared" si="42"/>
        <v>97093938</v>
      </c>
      <c r="U345" t="s">
        <v>898</v>
      </c>
    </row>
    <row r="346" spans="1:21" hidden="1" x14ac:dyDescent="0.2">
      <c r="A346" s="186" t="s">
        <v>495</v>
      </c>
      <c r="B346" s="128">
        <f t="shared" si="37"/>
        <v>14</v>
      </c>
      <c r="C346" s="128" t="s">
        <v>928</v>
      </c>
      <c r="D346" s="128" t="s">
        <v>944</v>
      </c>
      <c r="E346" s="127">
        <v>1270</v>
      </c>
      <c r="F346" s="127">
        <v>97094687</v>
      </c>
      <c r="G346" s="127" t="s">
        <v>1643</v>
      </c>
      <c r="H346" s="187"/>
      <c r="I346" s="187"/>
      <c r="P346" t="str">
        <f t="shared" si="38"/>
        <v>MONTHYON14</v>
      </c>
      <c r="Q346" t="str">
        <f t="shared" si="39"/>
        <v>MOINGEON</v>
      </c>
      <c r="R346" t="str">
        <f t="shared" si="40"/>
        <v>Claire</v>
      </c>
      <c r="S346">
        <f t="shared" si="41"/>
        <v>1270</v>
      </c>
      <c r="T346">
        <f t="shared" si="42"/>
        <v>97094687</v>
      </c>
      <c r="U346" t="s">
        <v>958</v>
      </c>
    </row>
    <row r="347" spans="1:21" hidden="1" x14ac:dyDescent="0.2">
      <c r="A347" s="186" t="s">
        <v>495</v>
      </c>
      <c r="B347" s="128">
        <f t="shared" si="37"/>
        <v>15</v>
      </c>
      <c r="C347" s="128" t="s">
        <v>1159</v>
      </c>
      <c r="D347" s="128" t="s">
        <v>720</v>
      </c>
      <c r="E347" s="127">
        <v>937</v>
      </c>
      <c r="F347" s="127">
        <v>87426434</v>
      </c>
      <c r="G347" s="127" t="s">
        <v>1856</v>
      </c>
      <c r="H347" s="187"/>
      <c r="I347" s="187"/>
      <c r="P347" t="str">
        <f t="shared" si="38"/>
        <v>MONTHYON15</v>
      </c>
      <c r="Q347" t="str">
        <f t="shared" si="39"/>
        <v>MORLOT</v>
      </c>
      <c r="R347" t="str">
        <f t="shared" si="40"/>
        <v>Ethan</v>
      </c>
      <c r="S347">
        <f t="shared" si="41"/>
        <v>937</v>
      </c>
      <c r="T347">
        <f t="shared" si="42"/>
        <v>87426434</v>
      </c>
      <c r="U347" t="s">
        <v>1377</v>
      </c>
    </row>
    <row r="348" spans="1:21" hidden="1" x14ac:dyDescent="0.2">
      <c r="A348" s="186" t="s">
        <v>495</v>
      </c>
      <c r="B348" s="128">
        <f t="shared" si="37"/>
        <v>16</v>
      </c>
      <c r="C348" s="128" t="s">
        <v>72</v>
      </c>
      <c r="D348" s="128" t="s">
        <v>326</v>
      </c>
      <c r="E348" s="127">
        <v>1247</v>
      </c>
      <c r="F348" s="127">
        <v>97072234</v>
      </c>
      <c r="G348" s="127" t="s">
        <v>1856</v>
      </c>
      <c r="H348" s="187"/>
      <c r="I348" s="187"/>
      <c r="P348" t="str">
        <f t="shared" si="38"/>
        <v>MONTHYON16</v>
      </c>
      <c r="Q348" t="str">
        <f t="shared" si="39"/>
        <v>NESME</v>
      </c>
      <c r="R348" t="str">
        <f t="shared" si="40"/>
        <v>Bruno</v>
      </c>
      <c r="S348">
        <f t="shared" si="41"/>
        <v>1247</v>
      </c>
      <c r="T348">
        <f t="shared" si="42"/>
        <v>97072234</v>
      </c>
      <c r="U348" t="s">
        <v>574</v>
      </c>
    </row>
    <row r="349" spans="1:21" hidden="1" x14ac:dyDescent="0.2">
      <c r="A349" s="186" t="s">
        <v>495</v>
      </c>
      <c r="B349" s="128">
        <f t="shared" si="37"/>
        <v>17</v>
      </c>
      <c r="C349" s="128" t="s">
        <v>1795</v>
      </c>
      <c r="D349" s="128" t="s">
        <v>615</v>
      </c>
      <c r="E349" s="127">
        <v>631</v>
      </c>
      <c r="F349" s="127">
        <v>97109691</v>
      </c>
      <c r="G349" s="127" t="s">
        <v>1643</v>
      </c>
      <c r="H349" s="187"/>
      <c r="I349" s="187"/>
      <c r="P349" t="str">
        <f t="shared" si="38"/>
        <v>MONTHYON17</v>
      </c>
      <c r="Q349" t="str">
        <f t="shared" si="39"/>
        <v>PLUSQUELEC</v>
      </c>
      <c r="R349" t="str">
        <f t="shared" si="40"/>
        <v>Jérôme</v>
      </c>
      <c r="S349">
        <f t="shared" si="41"/>
        <v>631</v>
      </c>
      <c r="T349">
        <f t="shared" si="42"/>
        <v>97109691</v>
      </c>
      <c r="U349" t="s">
        <v>1836</v>
      </c>
    </row>
    <row r="350" spans="1:21" hidden="1" x14ac:dyDescent="0.2">
      <c r="A350" s="186" t="s">
        <v>495</v>
      </c>
      <c r="B350" s="128">
        <f t="shared" si="37"/>
        <v>18</v>
      </c>
      <c r="C350" s="128" t="s">
        <v>1797</v>
      </c>
      <c r="D350" s="128" t="s">
        <v>1798</v>
      </c>
      <c r="E350" s="127">
        <v>500</v>
      </c>
      <c r="F350" s="127">
        <v>55362530</v>
      </c>
      <c r="G350" s="127" t="s">
        <v>1643</v>
      </c>
      <c r="H350" s="187"/>
      <c r="I350" s="187"/>
      <c r="P350" t="str">
        <f t="shared" si="38"/>
        <v>MONTHYON18</v>
      </c>
      <c r="Q350" t="str">
        <f t="shared" si="39"/>
        <v>ROCHES</v>
      </c>
      <c r="R350" t="str">
        <f t="shared" si="40"/>
        <v>Laetitia</v>
      </c>
      <c r="S350">
        <f t="shared" si="41"/>
        <v>500</v>
      </c>
      <c r="T350">
        <f t="shared" si="42"/>
        <v>55362530</v>
      </c>
      <c r="U350" t="s">
        <v>1834</v>
      </c>
    </row>
    <row r="351" spans="1:21" hidden="1" x14ac:dyDescent="0.2">
      <c r="A351" s="186" t="s">
        <v>495</v>
      </c>
      <c r="B351" s="128">
        <f t="shared" si="37"/>
        <v>19</v>
      </c>
      <c r="C351" s="128" t="s">
        <v>261</v>
      </c>
      <c r="D351" s="128" t="s">
        <v>347</v>
      </c>
      <c r="E351" s="127">
        <v>1751</v>
      </c>
      <c r="F351" s="127">
        <v>87465792</v>
      </c>
      <c r="G351" s="127" t="s">
        <v>1643</v>
      </c>
      <c r="H351" s="187"/>
      <c r="I351" s="187"/>
      <c r="P351" t="str">
        <f t="shared" si="38"/>
        <v>MONTHYON19</v>
      </c>
      <c r="Q351" t="str">
        <f t="shared" si="39"/>
        <v>ROMERO</v>
      </c>
      <c r="R351" t="str">
        <f t="shared" si="40"/>
        <v>Remi</v>
      </c>
      <c r="S351">
        <f t="shared" si="41"/>
        <v>1751</v>
      </c>
      <c r="T351">
        <f t="shared" si="42"/>
        <v>87465792</v>
      </c>
      <c r="U351" t="s">
        <v>262</v>
      </c>
    </row>
    <row r="352" spans="1:21" hidden="1" x14ac:dyDescent="0.2">
      <c r="A352" s="186" t="s">
        <v>495</v>
      </c>
      <c r="B352" s="128">
        <f t="shared" si="37"/>
        <v>20</v>
      </c>
      <c r="C352" s="128" t="s">
        <v>529</v>
      </c>
      <c r="D352" s="128" t="s">
        <v>293</v>
      </c>
      <c r="E352" s="127">
        <v>1209</v>
      </c>
      <c r="F352" s="127">
        <v>97071276</v>
      </c>
      <c r="G352" s="127" t="s">
        <v>1643</v>
      </c>
      <c r="H352" s="187"/>
      <c r="I352" s="187"/>
      <c r="P352" t="str">
        <f t="shared" si="38"/>
        <v>MONTHYON20</v>
      </c>
      <c r="Q352" t="str">
        <f t="shared" si="39"/>
        <v>SIRVIN</v>
      </c>
      <c r="R352" t="str">
        <f t="shared" si="40"/>
        <v>Christophe</v>
      </c>
      <c r="S352">
        <f t="shared" si="41"/>
        <v>1209</v>
      </c>
      <c r="T352">
        <f t="shared" si="42"/>
        <v>97071276</v>
      </c>
      <c r="U352" t="s">
        <v>530</v>
      </c>
    </row>
    <row r="353" spans="1:21" hidden="1" x14ac:dyDescent="0.2">
      <c r="A353" s="186" t="s">
        <v>495</v>
      </c>
      <c r="B353" s="128">
        <f t="shared" si="37"/>
        <v>21</v>
      </c>
      <c r="C353" s="128" t="s">
        <v>1794</v>
      </c>
      <c r="D353" s="128" t="s">
        <v>301</v>
      </c>
      <c r="E353" s="127">
        <v>586</v>
      </c>
      <c r="F353" s="127">
        <v>97109692</v>
      </c>
      <c r="G353" s="127" t="s">
        <v>1643</v>
      </c>
      <c r="H353" s="187"/>
      <c r="I353" s="187"/>
      <c r="P353" t="str">
        <f t="shared" si="38"/>
        <v>MONTHYON21</v>
      </c>
      <c r="Q353" t="str">
        <f t="shared" si="39"/>
        <v>TYCHEKEWITCHE</v>
      </c>
      <c r="R353" t="str">
        <f t="shared" si="40"/>
        <v>David</v>
      </c>
      <c r="S353">
        <f t="shared" si="41"/>
        <v>586</v>
      </c>
      <c r="T353">
        <f t="shared" si="42"/>
        <v>97109692</v>
      </c>
      <c r="U353" t="s">
        <v>1835</v>
      </c>
    </row>
    <row r="354" spans="1:21" hidden="1" x14ac:dyDescent="0.2">
      <c r="A354" s="186" t="s">
        <v>495</v>
      </c>
      <c r="B354" s="128">
        <f t="shared" si="37"/>
        <v>22</v>
      </c>
      <c r="C354" s="128" t="s">
        <v>45</v>
      </c>
      <c r="D354" s="128" t="s">
        <v>866</v>
      </c>
      <c r="E354" s="127">
        <v>989</v>
      </c>
      <c r="F354" s="127">
        <v>97093939</v>
      </c>
      <c r="G354" s="127" t="s">
        <v>1856</v>
      </c>
      <c r="H354" s="187"/>
      <c r="I354" s="187"/>
      <c r="P354" t="str">
        <f t="shared" si="38"/>
        <v>MONTHYON22</v>
      </c>
      <c r="Q354" t="str">
        <f t="shared" si="39"/>
        <v>VALENTIN</v>
      </c>
      <c r="R354" t="str">
        <f t="shared" si="40"/>
        <v>Steeve</v>
      </c>
      <c r="S354">
        <f t="shared" si="41"/>
        <v>989</v>
      </c>
      <c r="T354">
        <f t="shared" si="42"/>
        <v>97093939</v>
      </c>
      <c r="U354" t="s">
        <v>900</v>
      </c>
    </row>
    <row r="355" spans="1:21" hidden="1" x14ac:dyDescent="0.2">
      <c r="A355" s="186" t="s">
        <v>147</v>
      </c>
      <c r="B355" s="128">
        <f t="shared" si="37"/>
        <v>1</v>
      </c>
      <c r="C355" s="128" t="s">
        <v>1225</v>
      </c>
      <c r="D355" s="128" t="s">
        <v>330</v>
      </c>
      <c r="E355" s="127">
        <v>500</v>
      </c>
      <c r="F355" s="127">
        <v>87412126</v>
      </c>
      <c r="G355" s="127" t="s">
        <v>1643</v>
      </c>
      <c r="H355" s="187"/>
      <c r="I355" s="187"/>
      <c r="P355" t="str">
        <f t="shared" si="38"/>
        <v>MOUSSY1</v>
      </c>
      <c r="Q355" t="str">
        <f t="shared" si="39"/>
        <v>BELLER</v>
      </c>
      <c r="R355" t="str">
        <f t="shared" si="40"/>
        <v>Herve</v>
      </c>
      <c r="S355">
        <f t="shared" si="41"/>
        <v>500</v>
      </c>
      <c r="T355">
        <f t="shared" si="42"/>
        <v>87412126</v>
      </c>
      <c r="U355" t="s">
        <v>1451</v>
      </c>
    </row>
    <row r="356" spans="1:21" hidden="1" x14ac:dyDescent="0.2">
      <c r="A356" s="186" t="s">
        <v>147</v>
      </c>
      <c r="B356" s="128">
        <f t="shared" si="37"/>
        <v>2</v>
      </c>
      <c r="C356" s="128" t="s">
        <v>930</v>
      </c>
      <c r="D356" s="128" t="s">
        <v>280</v>
      </c>
      <c r="E356" s="127">
        <v>500</v>
      </c>
      <c r="F356" s="127">
        <v>51217187</v>
      </c>
      <c r="G356" s="127" t="s">
        <v>1643</v>
      </c>
      <c r="H356" s="187"/>
      <c r="I356" s="187"/>
      <c r="P356" t="str">
        <f t="shared" si="38"/>
        <v>MOUSSY2</v>
      </c>
      <c r="Q356" t="str">
        <f t="shared" si="39"/>
        <v>BEVILACQUA</v>
      </c>
      <c r="R356" t="str">
        <f t="shared" si="40"/>
        <v>Franck</v>
      </c>
      <c r="S356">
        <f t="shared" si="41"/>
        <v>500</v>
      </c>
      <c r="T356">
        <f t="shared" si="42"/>
        <v>51217187</v>
      </c>
      <c r="U356" t="s">
        <v>1455</v>
      </c>
    </row>
    <row r="357" spans="1:21" hidden="1" x14ac:dyDescent="0.2">
      <c r="A357" s="186" t="s">
        <v>147</v>
      </c>
      <c r="B357" s="128">
        <f t="shared" si="37"/>
        <v>3</v>
      </c>
      <c r="C357" s="128" t="s">
        <v>930</v>
      </c>
      <c r="D357" s="128" t="s">
        <v>946</v>
      </c>
      <c r="E357" s="127">
        <v>500</v>
      </c>
      <c r="F357" s="127">
        <v>53289972</v>
      </c>
      <c r="G357" s="127" t="s">
        <v>1643</v>
      </c>
      <c r="H357" s="187"/>
      <c r="I357" s="187"/>
      <c r="P357" t="str">
        <f t="shared" si="38"/>
        <v>MOUSSY3</v>
      </c>
      <c r="Q357" t="str">
        <f t="shared" si="39"/>
        <v>BEVILACQUA</v>
      </c>
      <c r="R357" t="str">
        <f t="shared" si="40"/>
        <v>Richard</v>
      </c>
      <c r="S357">
        <f t="shared" si="41"/>
        <v>500</v>
      </c>
      <c r="T357">
        <f t="shared" si="42"/>
        <v>53289972</v>
      </c>
      <c r="U357" t="s">
        <v>960</v>
      </c>
    </row>
    <row r="358" spans="1:21" hidden="1" x14ac:dyDescent="0.2">
      <c r="A358" s="186" t="s">
        <v>147</v>
      </c>
      <c r="B358" s="128">
        <f t="shared" si="37"/>
        <v>4</v>
      </c>
      <c r="C358" s="128" t="s">
        <v>1226</v>
      </c>
      <c r="D358" s="128" t="s">
        <v>289</v>
      </c>
      <c r="E358" s="127">
        <v>500</v>
      </c>
      <c r="F358" s="127">
        <v>97103242</v>
      </c>
      <c r="G358" s="127" t="s">
        <v>1643</v>
      </c>
      <c r="H358" s="187"/>
      <c r="I358" s="187"/>
      <c r="P358" t="str">
        <f t="shared" si="38"/>
        <v>MOUSSY4</v>
      </c>
      <c r="Q358" t="str">
        <f t="shared" si="39"/>
        <v>DEROUET</v>
      </c>
      <c r="R358" t="str">
        <f t="shared" si="40"/>
        <v>Laurent</v>
      </c>
      <c r="S358">
        <f t="shared" si="41"/>
        <v>500</v>
      </c>
      <c r="T358">
        <f t="shared" si="42"/>
        <v>97103242</v>
      </c>
      <c r="U358" t="s">
        <v>1452</v>
      </c>
    </row>
    <row r="359" spans="1:21" hidden="1" x14ac:dyDescent="0.2">
      <c r="A359" s="186" t="s">
        <v>147</v>
      </c>
      <c r="B359" s="128">
        <f t="shared" ref="B359:B422" si="43">IF(A359=A358,B358+1,1)</f>
        <v>5</v>
      </c>
      <c r="C359" s="128" t="s">
        <v>1226</v>
      </c>
      <c r="D359" s="128" t="s">
        <v>297</v>
      </c>
      <c r="E359" s="127">
        <v>500</v>
      </c>
      <c r="F359" s="127">
        <v>97103243</v>
      </c>
      <c r="G359" s="127" t="s">
        <v>1643</v>
      </c>
      <c r="H359" s="187"/>
      <c r="I359" s="187"/>
      <c r="P359" t="str">
        <f t="shared" ref="P359:P422" si="44">A359&amp;B359</f>
        <v>MOUSSY5</v>
      </c>
      <c r="Q359" t="str">
        <f t="shared" si="39"/>
        <v>DEROUET</v>
      </c>
      <c r="R359" t="str">
        <f t="shared" si="40"/>
        <v>Nicolas</v>
      </c>
      <c r="S359">
        <f t="shared" si="41"/>
        <v>500</v>
      </c>
      <c r="T359">
        <f t="shared" si="42"/>
        <v>97103243</v>
      </c>
      <c r="U359" t="s">
        <v>1453</v>
      </c>
    </row>
    <row r="360" spans="1:21" hidden="1" x14ac:dyDescent="0.2">
      <c r="A360" s="186" t="s">
        <v>147</v>
      </c>
      <c r="B360" s="128">
        <f t="shared" si="43"/>
        <v>6</v>
      </c>
      <c r="C360" s="128" t="s">
        <v>931</v>
      </c>
      <c r="D360" s="128" t="s">
        <v>947</v>
      </c>
      <c r="E360" s="127">
        <v>500</v>
      </c>
      <c r="F360" s="127">
        <v>97081471</v>
      </c>
      <c r="G360" s="127" t="s">
        <v>1643</v>
      </c>
      <c r="H360" s="187"/>
      <c r="I360" s="187"/>
      <c r="P360" t="str">
        <f t="shared" si="44"/>
        <v>MOUSSY6</v>
      </c>
      <c r="Q360" t="str">
        <f t="shared" si="39"/>
        <v>LEMOINE</v>
      </c>
      <c r="R360" t="str">
        <f t="shared" si="40"/>
        <v>Lylian</v>
      </c>
      <c r="S360">
        <f t="shared" si="41"/>
        <v>500</v>
      </c>
      <c r="T360">
        <f t="shared" si="42"/>
        <v>97081471</v>
      </c>
      <c r="U360" t="s">
        <v>961</v>
      </c>
    </row>
    <row r="361" spans="1:21" hidden="1" x14ac:dyDescent="0.2">
      <c r="A361" s="186" t="s">
        <v>147</v>
      </c>
      <c r="B361" s="128">
        <f t="shared" si="43"/>
        <v>7</v>
      </c>
      <c r="C361" s="128" t="s">
        <v>1224</v>
      </c>
      <c r="D361" s="128" t="s">
        <v>309</v>
      </c>
      <c r="E361" s="127">
        <v>500</v>
      </c>
      <c r="F361" s="127">
        <v>3552644</v>
      </c>
      <c r="G361" s="127" t="s">
        <v>1643</v>
      </c>
      <c r="H361" s="187"/>
      <c r="I361" s="187"/>
      <c r="P361" t="str">
        <f t="shared" si="44"/>
        <v>MOUSSY7</v>
      </c>
      <c r="Q361" t="str">
        <f t="shared" si="39"/>
        <v>MARTINEZ</v>
      </c>
      <c r="R361" t="str">
        <f t="shared" si="40"/>
        <v>Thierry</v>
      </c>
      <c r="S361">
        <f t="shared" si="41"/>
        <v>500</v>
      </c>
      <c r="T361">
        <f t="shared" si="42"/>
        <v>3552644</v>
      </c>
      <c r="U361" t="s">
        <v>1511</v>
      </c>
    </row>
    <row r="362" spans="1:21" hidden="1" x14ac:dyDescent="0.2">
      <c r="A362" s="186" t="s">
        <v>147</v>
      </c>
      <c r="B362" s="128">
        <f t="shared" si="43"/>
        <v>8</v>
      </c>
      <c r="C362" s="128" t="s">
        <v>1227</v>
      </c>
      <c r="D362" s="128" t="s">
        <v>1324</v>
      </c>
      <c r="E362" s="127">
        <v>500</v>
      </c>
      <c r="F362" s="127">
        <v>87421332</v>
      </c>
      <c r="G362" s="127" t="s">
        <v>1643</v>
      </c>
      <c r="H362" s="187"/>
      <c r="I362" s="187"/>
      <c r="P362" t="str">
        <f t="shared" si="44"/>
        <v>MOUSSY8</v>
      </c>
      <c r="Q362" t="str">
        <f t="shared" si="39"/>
        <v>POLICARPO</v>
      </c>
      <c r="R362" t="str">
        <f t="shared" si="40"/>
        <v>Tony</v>
      </c>
      <c r="S362">
        <f t="shared" si="41"/>
        <v>500</v>
      </c>
      <c r="T362">
        <f t="shared" si="42"/>
        <v>87421332</v>
      </c>
      <c r="U362" t="s">
        <v>1454</v>
      </c>
    </row>
    <row r="363" spans="1:21" hidden="1" x14ac:dyDescent="0.2">
      <c r="A363" s="186" t="s">
        <v>139</v>
      </c>
      <c r="B363" s="128">
        <f t="shared" si="43"/>
        <v>1</v>
      </c>
      <c r="C363" s="128" t="s">
        <v>78</v>
      </c>
      <c r="D363" s="128" t="s">
        <v>292</v>
      </c>
      <c r="E363" s="127">
        <v>653</v>
      </c>
      <c r="F363" s="127">
        <v>47346505</v>
      </c>
      <c r="G363" s="127" t="s">
        <v>1643</v>
      </c>
      <c r="H363" s="187"/>
      <c r="I363" s="187"/>
      <c r="P363" t="str">
        <f t="shared" si="44"/>
        <v>NANTOUILLET1</v>
      </c>
      <c r="Q363" t="str">
        <f t="shared" si="39"/>
        <v>EGO</v>
      </c>
      <c r="R363" t="str">
        <f t="shared" si="40"/>
        <v>Philippe</v>
      </c>
      <c r="S363">
        <f t="shared" si="41"/>
        <v>653</v>
      </c>
      <c r="T363">
        <f t="shared" si="42"/>
        <v>47346505</v>
      </c>
      <c r="U363" t="s">
        <v>199</v>
      </c>
    </row>
    <row r="364" spans="1:21" hidden="1" x14ac:dyDescent="0.2">
      <c r="A364" s="186" t="s">
        <v>139</v>
      </c>
      <c r="B364" s="128">
        <f t="shared" si="43"/>
        <v>2</v>
      </c>
      <c r="C364" s="128" t="s">
        <v>77</v>
      </c>
      <c r="D364" s="128" t="s">
        <v>285</v>
      </c>
      <c r="E364" s="127">
        <v>578</v>
      </c>
      <c r="F364" s="127">
        <v>47346504</v>
      </c>
      <c r="G364" s="127" t="s">
        <v>1643</v>
      </c>
      <c r="H364" s="187"/>
      <c r="I364" s="187"/>
      <c r="P364" t="str">
        <f t="shared" si="44"/>
        <v>NANTOUILLET2</v>
      </c>
      <c r="Q364" t="str">
        <f t="shared" si="39"/>
        <v>FOMBELLE</v>
      </c>
      <c r="R364" t="str">
        <f t="shared" si="40"/>
        <v>Eric</v>
      </c>
      <c r="S364">
        <f t="shared" si="41"/>
        <v>578</v>
      </c>
      <c r="T364">
        <f t="shared" si="42"/>
        <v>47346504</v>
      </c>
      <c r="U364" t="s">
        <v>200</v>
      </c>
    </row>
    <row r="365" spans="1:21" hidden="1" x14ac:dyDescent="0.2">
      <c r="A365" s="186" t="s">
        <v>139</v>
      </c>
      <c r="B365" s="128">
        <f t="shared" si="43"/>
        <v>3</v>
      </c>
      <c r="C365" s="128" t="s">
        <v>1231</v>
      </c>
      <c r="D365" s="128" t="s">
        <v>861</v>
      </c>
      <c r="E365" s="127">
        <v>534</v>
      </c>
      <c r="F365" s="127">
        <v>87461715</v>
      </c>
      <c r="G365" s="127" t="s">
        <v>1856</v>
      </c>
      <c r="H365" s="187"/>
      <c r="I365" s="187"/>
      <c r="P365" t="str">
        <f t="shared" si="44"/>
        <v>NANTOUILLET3</v>
      </c>
      <c r="Q365" t="str">
        <f t="shared" si="39"/>
        <v>FORTUNE</v>
      </c>
      <c r="R365" t="str">
        <f t="shared" si="40"/>
        <v>Loic</v>
      </c>
      <c r="S365">
        <f t="shared" si="41"/>
        <v>534</v>
      </c>
      <c r="T365">
        <f t="shared" si="42"/>
        <v>87461715</v>
      </c>
      <c r="U365" t="s">
        <v>1460</v>
      </c>
    </row>
    <row r="366" spans="1:21" hidden="1" x14ac:dyDescent="0.2">
      <c r="A366" s="186" t="s">
        <v>139</v>
      </c>
      <c r="B366" s="128">
        <f t="shared" si="43"/>
        <v>4</v>
      </c>
      <c r="C366" s="128" t="s">
        <v>80</v>
      </c>
      <c r="D366" s="128" t="s">
        <v>345</v>
      </c>
      <c r="E366" s="127">
        <v>500</v>
      </c>
      <c r="F366" s="127">
        <v>87461695</v>
      </c>
      <c r="G366" s="127" t="s">
        <v>1643</v>
      </c>
      <c r="H366" s="187"/>
      <c r="I366" s="187"/>
      <c r="P366" t="str">
        <f t="shared" si="44"/>
        <v>NANTOUILLET4</v>
      </c>
      <c r="Q366" t="str">
        <f t="shared" si="39"/>
        <v>GAUTHIER</v>
      </c>
      <c r="R366" t="str">
        <f t="shared" si="40"/>
        <v>James</v>
      </c>
      <c r="S366">
        <f t="shared" si="41"/>
        <v>500</v>
      </c>
      <c r="T366">
        <f t="shared" si="42"/>
        <v>87461695</v>
      </c>
      <c r="U366" t="s">
        <v>201</v>
      </c>
    </row>
    <row r="367" spans="1:21" hidden="1" x14ac:dyDescent="0.2">
      <c r="A367" s="186" t="s">
        <v>139</v>
      </c>
      <c r="B367" s="128">
        <f t="shared" si="43"/>
        <v>5</v>
      </c>
      <c r="C367" s="128" t="s">
        <v>979</v>
      </c>
      <c r="D367" s="128" t="s">
        <v>985</v>
      </c>
      <c r="E367" s="127">
        <v>950</v>
      </c>
      <c r="F367" s="127">
        <v>87446665</v>
      </c>
      <c r="G367" s="127" t="s">
        <v>1643</v>
      </c>
      <c r="H367" s="187"/>
      <c r="I367" s="187"/>
      <c r="P367" t="str">
        <f t="shared" si="44"/>
        <v>NANTOUILLET5</v>
      </c>
      <c r="Q367" t="str">
        <f t="shared" si="39"/>
        <v>KACPROWSKI</v>
      </c>
      <c r="R367" t="str">
        <f t="shared" si="40"/>
        <v>Piotr</v>
      </c>
      <c r="S367">
        <f t="shared" si="41"/>
        <v>950</v>
      </c>
      <c r="T367">
        <f t="shared" si="42"/>
        <v>87446665</v>
      </c>
      <c r="U367" t="s">
        <v>992</v>
      </c>
    </row>
    <row r="368" spans="1:21" hidden="1" x14ac:dyDescent="0.2">
      <c r="A368" s="186" t="s">
        <v>139</v>
      </c>
      <c r="B368" s="128">
        <f t="shared" si="43"/>
        <v>6</v>
      </c>
      <c r="C368" s="128" t="s">
        <v>81</v>
      </c>
      <c r="D368" s="128" t="s">
        <v>298</v>
      </c>
      <c r="E368" s="127">
        <v>500</v>
      </c>
      <c r="F368" s="127">
        <v>87415008</v>
      </c>
      <c r="G368" s="127" t="s">
        <v>1643</v>
      </c>
      <c r="H368" s="187"/>
      <c r="I368" s="187"/>
      <c r="P368" t="str">
        <f t="shared" si="44"/>
        <v>NANTOUILLET6</v>
      </c>
      <c r="Q368" t="str">
        <f t="shared" si="39"/>
        <v>LEBRUN</v>
      </c>
      <c r="R368" t="str">
        <f t="shared" si="40"/>
        <v>Christian</v>
      </c>
      <c r="S368">
        <f t="shared" si="41"/>
        <v>500</v>
      </c>
      <c r="T368">
        <f t="shared" si="42"/>
        <v>87415008</v>
      </c>
      <c r="U368" t="s">
        <v>202</v>
      </c>
    </row>
    <row r="369" spans="1:21" hidden="1" x14ac:dyDescent="0.2">
      <c r="A369" s="186" t="s">
        <v>139</v>
      </c>
      <c r="B369" s="128">
        <f t="shared" si="43"/>
        <v>7</v>
      </c>
      <c r="C369" s="128" t="s">
        <v>79</v>
      </c>
      <c r="D369" s="128" t="s">
        <v>338</v>
      </c>
      <c r="E369" s="127">
        <v>964</v>
      </c>
      <c r="F369" s="127">
        <v>55323642</v>
      </c>
      <c r="G369" s="127" t="s">
        <v>1643</v>
      </c>
      <c r="H369" s="187"/>
      <c r="I369" s="187"/>
      <c r="P369" t="str">
        <f t="shared" si="44"/>
        <v>NANTOUILLET7</v>
      </c>
      <c r="Q369" t="str">
        <f t="shared" si="39"/>
        <v>LOF</v>
      </c>
      <c r="R369" t="str">
        <f t="shared" si="40"/>
        <v>Lionel</v>
      </c>
      <c r="S369">
        <f t="shared" si="41"/>
        <v>964</v>
      </c>
      <c r="T369">
        <f t="shared" si="42"/>
        <v>55323642</v>
      </c>
      <c r="U369" t="s">
        <v>203</v>
      </c>
    </row>
    <row r="370" spans="1:21" hidden="1" x14ac:dyDescent="0.2">
      <c r="A370" s="186" t="s">
        <v>139</v>
      </c>
      <c r="B370" s="128">
        <f t="shared" si="43"/>
        <v>8</v>
      </c>
      <c r="C370" s="128" t="s">
        <v>980</v>
      </c>
      <c r="D370" s="128" t="s">
        <v>317</v>
      </c>
      <c r="E370" s="127">
        <v>500</v>
      </c>
      <c r="F370" s="127">
        <v>97098733</v>
      </c>
      <c r="G370" s="127" t="s">
        <v>1856</v>
      </c>
      <c r="H370" s="187"/>
      <c r="I370" s="187"/>
      <c r="P370" t="str">
        <f t="shared" si="44"/>
        <v>NANTOUILLET8</v>
      </c>
      <c r="Q370" t="str">
        <f t="shared" si="39"/>
        <v>NOTTIN</v>
      </c>
      <c r="R370" t="str">
        <f t="shared" si="40"/>
        <v>Thomas</v>
      </c>
      <c r="S370">
        <f t="shared" si="41"/>
        <v>500</v>
      </c>
      <c r="T370">
        <f t="shared" si="42"/>
        <v>97098733</v>
      </c>
      <c r="U370" t="s">
        <v>993</v>
      </c>
    </row>
    <row r="371" spans="1:21" hidden="1" x14ac:dyDescent="0.2">
      <c r="A371" s="186" t="s">
        <v>139</v>
      </c>
      <c r="B371" s="128">
        <f t="shared" si="43"/>
        <v>9</v>
      </c>
      <c r="C371" s="128" t="s">
        <v>1527</v>
      </c>
      <c r="D371" s="128" t="s">
        <v>320</v>
      </c>
      <c r="E371" s="127">
        <v>1370</v>
      </c>
      <c r="F371" s="127">
        <v>87422258</v>
      </c>
      <c r="G371" s="127" t="s">
        <v>1643</v>
      </c>
      <c r="H371" s="187"/>
      <c r="I371" s="187"/>
      <c r="P371" t="str">
        <f t="shared" si="44"/>
        <v>NANTOUILLET9</v>
      </c>
      <c r="Q371" t="str">
        <f t="shared" si="39"/>
        <v>RAFFIN</v>
      </c>
      <c r="R371" t="str">
        <f t="shared" si="40"/>
        <v>Mathieu</v>
      </c>
      <c r="S371">
        <f t="shared" si="41"/>
        <v>1370</v>
      </c>
      <c r="T371">
        <f t="shared" si="42"/>
        <v>87422258</v>
      </c>
      <c r="U371" t="s">
        <v>1571</v>
      </c>
    </row>
    <row r="372" spans="1:21" hidden="1" x14ac:dyDescent="0.2">
      <c r="A372" s="186" t="s">
        <v>129</v>
      </c>
      <c r="B372" s="128">
        <f t="shared" si="43"/>
        <v>1</v>
      </c>
      <c r="C372" s="128" t="s">
        <v>1228</v>
      </c>
      <c r="D372" s="128" t="s">
        <v>293</v>
      </c>
      <c r="E372" s="127">
        <v>598</v>
      </c>
      <c r="F372" s="127">
        <v>87408785</v>
      </c>
      <c r="G372" s="127" t="s">
        <v>1856</v>
      </c>
      <c r="H372" s="187"/>
      <c r="I372" s="187"/>
      <c r="P372" t="str">
        <f t="shared" si="44"/>
        <v>PONTHIERRY1</v>
      </c>
      <c r="Q372" t="str">
        <f t="shared" si="39"/>
        <v>BOILOT</v>
      </c>
      <c r="R372" t="str">
        <f t="shared" si="40"/>
        <v>Christophe</v>
      </c>
      <c r="S372">
        <f t="shared" si="41"/>
        <v>598</v>
      </c>
      <c r="T372">
        <f t="shared" si="42"/>
        <v>87408785</v>
      </c>
      <c r="U372" t="s">
        <v>1456</v>
      </c>
    </row>
    <row r="373" spans="1:21" hidden="1" x14ac:dyDescent="0.2">
      <c r="A373" s="186" t="s">
        <v>129</v>
      </c>
      <c r="B373" s="128">
        <f t="shared" si="43"/>
        <v>2</v>
      </c>
      <c r="C373" s="128" t="s">
        <v>444</v>
      </c>
      <c r="D373" s="128" t="s">
        <v>445</v>
      </c>
      <c r="E373" s="127">
        <v>845</v>
      </c>
      <c r="F373" s="127">
        <v>87425127</v>
      </c>
      <c r="G373" s="127" t="s">
        <v>1643</v>
      </c>
      <c r="H373" s="187"/>
      <c r="I373" s="187"/>
      <c r="P373" t="str">
        <f t="shared" si="44"/>
        <v>PONTHIERRY2</v>
      </c>
      <c r="Q373" t="str">
        <f t="shared" si="39"/>
        <v>CHOPINET</v>
      </c>
      <c r="R373" t="str">
        <f t="shared" si="40"/>
        <v>OLIVIER</v>
      </c>
      <c r="S373">
        <f t="shared" si="41"/>
        <v>845</v>
      </c>
      <c r="T373">
        <f t="shared" si="42"/>
        <v>87425127</v>
      </c>
      <c r="U373" t="s">
        <v>446</v>
      </c>
    </row>
    <row r="374" spans="1:21" hidden="1" x14ac:dyDescent="0.2">
      <c r="A374" s="186" t="s">
        <v>129</v>
      </c>
      <c r="B374" s="128">
        <f t="shared" si="43"/>
        <v>3</v>
      </c>
      <c r="C374" s="128" t="s">
        <v>98</v>
      </c>
      <c r="D374" s="128" t="s">
        <v>302</v>
      </c>
      <c r="E374" s="127">
        <v>611</v>
      </c>
      <c r="F374" s="127">
        <v>87418119</v>
      </c>
      <c r="G374" s="127" t="s">
        <v>1643</v>
      </c>
      <c r="H374" s="187"/>
      <c r="I374" s="187"/>
      <c r="P374" t="str">
        <f t="shared" si="44"/>
        <v>PONTHIERRY3</v>
      </c>
      <c r="Q374" t="str">
        <f t="shared" si="39"/>
        <v>CROPSAL</v>
      </c>
      <c r="R374" t="str">
        <f t="shared" si="40"/>
        <v>Cyril</v>
      </c>
      <c r="S374">
        <f t="shared" si="41"/>
        <v>611</v>
      </c>
      <c r="T374">
        <f t="shared" si="42"/>
        <v>87418119</v>
      </c>
      <c r="U374" t="s">
        <v>205</v>
      </c>
    </row>
    <row r="375" spans="1:21" hidden="1" x14ac:dyDescent="0.2">
      <c r="A375" s="186" t="s">
        <v>129</v>
      </c>
      <c r="B375" s="128">
        <f t="shared" si="43"/>
        <v>4</v>
      </c>
      <c r="C375" s="128" t="s">
        <v>1229</v>
      </c>
      <c r="D375" s="128" t="s">
        <v>1326</v>
      </c>
      <c r="E375" s="127">
        <v>839</v>
      </c>
      <c r="F375" s="127">
        <v>97076300</v>
      </c>
      <c r="G375" s="127" t="s">
        <v>1643</v>
      </c>
      <c r="H375" s="187"/>
      <c r="I375" s="187"/>
      <c r="P375" t="str">
        <f t="shared" si="44"/>
        <v>PONTHIERRY4</v>
      </c>
      <c r="Q375" t="str">
        <f t="shared" si="39"/>
        <v>DARMEON</v>
      </c>
      <c r="R375" t="str">
        <f t="shared" si="40"/>
        <v>Charline</v>
      </c>
      <c r="S375">
        <f t="shared" si="41"/>
        <v>839</v>
      </c>
      <c r="T375">
        <f t="shared" si="42"/>
        <v>97076300</v>
      </c>
      <c r="U375" t="s">
        <v>1458</v>
      </c>
    </row>
    <row r="376" spans="1:21" hidden="1" x14ac:dyDescent="0.2">
      <c r="A376" s="186" t="s">
        <v>129</v>
      </c>
      <c r="B376" s="128">
        <f t="shared" si="43"/>
        <v>5</v>
      </c>
      <c r="C376" s="128" t="s">
        <v>1537</v>
      </c>
      <c r="D376" s="128" t="s">
        <v>1555</v>
      </c>
      <c r="E376" s="127">
        <v>541</v>
      </c>
      <c r="F376" s="127">
        <v>97107169</v>
      </c>
      <c r="G376" s="127" t="s">
        <v>1856</v>
      </c>
      <c r="H376" s="187"/>
      <c r="I376" s="187"/>
      <c r="P376" t="str">
        <f t="shared" si="44"/>
        <v>PONTHIERRY5</v>
      </c>
      <c r="Q376" t="str">
        <f t="shared" si="39"/>
        <v>DE ALMEIDA</v>
      </c>
      <c r="R376" t="str">
        <f t="shared" si="40"/>
        <v>Marco</v>
      </c>
      <c r="S376">
        <f t="shared" si="41"/>
        <v>541</v>
      </c>
      <c r="T376">
        <f t="shared" si="42"/>
        <v>97107169</v>
      </c>
      <c r="U376" t="s">
        <v>1592</v>
      </c>
    </row>
    <row r="377" spans="1:21" hidden="1" x14ac:dyDescent="0.2">
      <c r="A377" s="186" t="s">
        <v>129</v>
      </c>
      <c r="B377" s="128">
        <f t="shared" si="43"/>
        <v>6</v>
      </c>
      <c r="C377" s="128" t="s">
        <v>507</v>
      </c>
      <c r="D377" s="128" t="s">
        <v>318</v>
      </c>
      <c r="E377" s="127">
        <v>770</v>
      </c>
      <c r="F377" s="127">
        <v>97065864</v>
      </c>
      <c r="G377" s="127" t="s">
        <v>1643</v>
      </c>
      <c r="H377" s="187"/>
      <c r="I377" s="187"/>
      <c r="P377" t="str">
        <f t="shared" si="44"/>
        <v>PONTHIERRY6</v>
      </c>
      <c r="Q377" t="str">
        <f t="shared" si="39"/>
        <v>DEJOIE</v>
      </c>
      <c r="R377" t="str">
        <f t="shared" si="40"/>
        <v>Gerard</v>
      </c>
      <c r="S377">
        <f t="shared" si="41"/>
        <v>770</v>
      </c>
      <c r="T377">
        <f t="shared" si="42"/>
        <v>97065864</v>
      </c>
      <c r="U377" t="s">
        <v>508</v>
      </c>
    </row>
    <row r="378" spans="1:21" hidden="1" x14ac:dyDescent="0.2">
      <c r="A378" s="186" t="s">
        <v>129</v>
      </c>
      <c r="B378" s="128">
        <f t="shared" si="43"/>
        <v>7</v>
      </c>
      <c r="C378" s="128" t="s">
        <v>827</v>
      </c>
      <c r="D378" s="128" t="s">
        <v>343</v>
      </c>
      <c r="E378" s="127">
        <v>500</v>
      </c>
      <c r="F378" s="127">
        <v>97093506</v>
      </c>
      <c r="G378" s="127" t="s">
        <v>1643</v>
      </c>
      <c r="H378" s="187"/>
      <c r="I378" s="187"/>
      <c r="P378" t="str">
        <f t="shared" si="44"/>
        <v>PONTHIERRY7</v>
      </c>
      <c r="Q378" t="str">
        <f t="shared" si="39"/>
        <v>DELAVAL</v>
      </c>
      <c r="R378" t="str">
        <f t="shared" si="40"/>
        <v>Sylvain</v>
      </c>
      <c r="S378">
        <f t="shared" si="41"/>
        <v>500</v>
      </c>
      <c r="T378">
        <f t="shared" si="42"/>
        <v>97093506</v>
      </c>
      <c r="U378" t="s">
        <v>889</v>
      </c>
    </row>
    <row r="379" spans="1:21" hidden="1" x14ac:dyDescent="0.2">
      <c r="A379" s="186" t="s">
        <v>129</v>
      </c>
      <c r="B379" s="128">
        <f t="shared" si="43"/>
        <v>8</v>
      </c>
      <c r="C379" s="128" t="s">
        <v>1805</v>
      </c>
      <c r="D379" s="128" t="s">
        <v>1091</v>
      </c>
      <c r="E379" s="127">
        <v>732</v>
      </c>
      <c r="F379" s="127">
        <v>97109571</v>
      </c>
      <c r="G379" s="127" t="s">
        <v>1643</v>
      </c>
      <c r="H379" s="187"/>
      <c r="I379" s="187"/>
      <c r="P379" t="str">
        <f t="shared" si="44"/>
        <v>PONTHIERRY8</v>
      </c>
      <c r="Q379" t="str">
        <f t="shared" si="39"/>
        <v>DEVAULT</v>
      </c>
      <c r="R379" t="str">
        <f t="shared" si="40"/>
        <v>Claudia</v>
      </c>
      <c r="S379">
        <f t="shared" si="41"/>
        <v>732</v>
      </c>
      <c r="T379">
        <f t="shared" si="42"/>
        <v>97109571</v>
      </c>
      <c r="U379" t="s">
        <v>1837</v>
      </c>
    </row>
    <row r="380" spans="1:21" hidden="1" x14ac:dyDescent="0.2">
      <c r="A380" s="186" t="s">
        <v>129</v>
      </c>
      <c r="B380" s="128">
        <f t="shared" si="43"/>
        <v>9</v>
      </c>
      <c r="C380" s="128" t="s">
        <v>826</v>
      </c>
      <c r="D380" s="128" t="s">
        <v>295</v>
      </c>
      <c r="E380" s="127">
        <v>536</v>
      </c>
      <c r="F380" s="127">
        <v>97093507</v>
      </c>
      <c r="G380" s="127" t="s">
        <v>1643</v>
      </c>
      <c r="H380" s="187"/>
      <c r="I380" s="187"/>
      <c r="P380" t="str">
        <f t="shared" si="44"/>
        <v>PONTHIERRY9</v>
      </c>
      <c r="Q380" t="str">
        <f t="shared" si="39"/>
        <v>DUPERRON</v>
      </c>
      <c r="R380" t="str">
        <f t="shared" si="40"/>
        <v>Pascal</v>
      </c>
      <c r="S380">
        <f t="shared" si="41"/>
        <v>536</v>
      </c>
      <c r="T380">
        <f t="shared" si="42"/>
        <v>97093507</v>
      </c>
      <c r="U380" t="s">
        <v>888</v>
      </c>
    </row>
    <row r="381" spans="1:21" hidden="1" x14ac:dyDescent="0.2">
      <c r="A381" s="186" t="s">
        <v>129</v>
      </c>
      <c r="B381" s="128">
        <f t="shared" si="43"/>
        <v>10</v>
      </c>
      <c r="C381" s="128" t="s">
        <v>99</v>
      </c>
      <c r="D381" s="128" t="s">
        <v>336</v>
      </c>
      <c r="E381" s="127">
        <v>500</v>
      </c>
      <c r="F381" s="127">
        <v>87417203</v>
      </c>
      <c r="G381" s="127" t="s">
        <v>1643</v>
      </c>
      <c r="H381" s="187"/>
      <c r="I381" s="187"/>
      <c r="P381" t="str">
        <f t="shared" si="44"/>
        <v>PONTHIERRY10</v>
      </c>
      <c r="Q381" t="str">
        <f t="shared" si="39"/>
        <v>DUTILLY</v>
      </c>
      <c r="R381" t="str">
        <f t="shared" si="40"/>
        <v>Bernard</v>
      </c>
      <c r="S381">
        <f t="shared" si="41"/>
        <v>500</v>
      </c>
      <c r="T381">
        <f t="shared" si="42"/>
        <v>87417203</v>
      </c>
      <c r="U381" t="s">
        <v>206</v>
      </c>
    </row>
    <row r="382" spans="1:21" hidden="1" x14ac:dyDescent="0.2">
      <c r="A382" s="186" t="s">
        <v>129</v>
      </c>
      <c r="B382" s="128">
        <f t="shared" si="43"/>
        <v>11</v>
      </c>
      <c r="C382" s="128" t="s">
        <v>457</v>
      </c>
      <c r="D382" s="128" t="s">
        <v>458</v>
      </c>
      <c r="E382" s="127">
        <v>1263</v>
      </c>
      <c r="F382" s="127">
        <v>97060243</v>
      </c>
      <c r="G382" s="127" t="s">
        <v>1643</v>
      </c>
      <c r="H382" s="187"/>
      <c r="I382" s="187"/>
      <c r="P382" t="str">
        <f t="shared" si="44"/>
        <v>PONTHIERRY11</v>
      </c>
      <c r="Q382" t="str">
        <f t="shared" si="39"/>
        <v>HEZER</v>
      </c>
      <c r="R382" t="str">
        <f t="shared" si="40"/>
        <v>Murat</v>
      </c>
      <c r="S382">
        <f t="shared" si="41"/>
        <v>1263</v>
      </c>
      <c r="T382">
        <f t="shared" si="42"/>
        <v>97060243</v>
      </c>
      <c r="U382" t="s">
        <v>459</v>
      </c>
    </row>
    <row r="383" spans="1:21" hidden="1" x14ac:dyDescent="0.2">
      <c r="A383" s="186" t="s">
        <v>129</v>
      </c>
      <c r="B383" s="128">
        <f t="shared" si="43"/>
        <v>12</v>
      </c>
      <c r="C383" s="128" t="s">
        <v>1897</v>
      </c>
      <c r="D383" s="128" t="s">
        <v>615</v>
      </c>
      <c r="E383" s="127">
        <v>500</v>
      </c>
      <c r="F383" s="127">
        <v>97110382</v>
      </c>
      <c r="G383" s="127" t="s">
        <v>1643</v>
      </c>
      <c r="H383" s="187"/>
      <c r="I383" s="187"/>
      <c r="P383" t="str">
        <f t="shared" si="44"/>
        <v>PONTHIERRY12</v>
      </c>
      <c r="Q383" t="str">
        <f t="shared" si="39"/>
        <v>LANDEREAU</v>
      </c>
      <c r="R383" t="str">
        <f t="shared" si="40"/>
        <v>Jérôme</v>
      </c>
      <c r="S383">
        <f t="shared" si="41"/>
        <v>500</v>
      </c>
      <c r="T383">
        <f t="shared" si="42"/>
        <v>97110382</v>
      </c>
      <c r="U383" t="s">
        <v>1953</v>
      </c>
    </row>
    <row r="384" spans="1:21" hidden="1" x14ac:dyDescent="0.2">
      <c r="A384" s="186" t="s">
        <v>129</v>
      </c>
      <c r="B384" s="128">
        <f t="shared" si="43"/>
        <v>13</v>
      </c>
      <c r="C384" s="128" t="s">
        <v>447</v>
      </c>
      <c r="D384" s="128" t="s">
        <v>448</v>
      </c>
      <c r="E384" s="127">
        <v>704</v>
      </c>
      <c r="F384" s="127">
        <v>87408784</v>
      </c>
      <c r="G384" s="127" t="s">
        <v>1643</v>
      </c>
      <c r="H384" s="187"/>
      <c r="I384" s="187"/>
      <c r="P384" t="str">
        <f t="shared" si="44"/>
        <v>PONTHIERRY13</v>
      </c>
      <c r="Q384" t="str">
        <f t="shared" si="39"/>
        <v>LANDREAT</v>
      </c>
      <c r="R384" t="str">
        <f t="shared" si="40"/>
        <v>Stéphane</v>
      </c>
      <c r="S384">
        <f t="shared" si="41"/>
        <v>704</v>
      </c>
      <c r="T384">
        <f t="shared" si="42"/>
        <v>87408784</v>
      </c>
      <c r="U384" t="s">
        <v>538</v>
      </c>
    </row>
    <row r="385" spans="1:21" hidden="1" x14ac:dyDescent="0.2">
      <c r="A385" s="186" t="s">
        <v>129</v>
      </c>
      <c r="B385" s="128">
        <f t="shared" si="43"/>
        <v>14</v>
      </c>
      <c r="C385" s="128" t="s">
        <v>81</v>
      </c>
      <c r="D385" s="128" t="s">
        <v>1340</v>
      </c>
      <c r="E385" s="127">
        <v>816</v>
      </c>
      <c r="F385" s="127">
        <v>97099504</v>
      </c>
      <c r="G385" s="127" t="s">
        <v>1643</v>
      </c>
      <c r="H385" s="187"/>
      <c r="I385" s="187"/>
      <c r="P385" t="str">
        <f t="shared" si="44"/>
        <v>PONTHIERRY14</v>
      </c>
      <c r="Q385" t="str">
        <f t="shared" si="39"/>
        <v>LEBRUN</v>
      </c>
      <c r="R385" t="str">
        <f t="shared" si="40"/>
        <v>Emilie</v>
      </c>
      <c r="S385">
        <f t="shared" si="41"/>
        <v>816</v>
      </c>
      <c r="T385">
        <f t="shared" si="42"/>
        <v>97099504</v>
      </c>
      <c r="U385" t="s">
        <v>1964</v>
      </c>
    </row>
    <row r="386" spans="1:21" hidden="1" x14ac:dyDescent="0.2">
      <c r="A386" s="186" t="s">
        <v>129</v>
      </c>
      <c r="B386" s="128">
        <f t="shared" si="43"/>
        <v>15</v>
      </c>
      <c r="C386" s="128" t="s">
        <v>81</v>
      </c>
      <c r="D386" s="128" t="s">
        <v>307</v>
      </c>
      <c r="E386" s="127">
        <v>1214</v>
      </c>
      <c r="F386" s="127">
        <v>97076301</v>
      </c>
      <c r="G386" s="127" t="s">
        <v>1643</v>
      </c>
      <c r="H386" s="187"/>
      <c r="I386" s="187"/>
      <c r="P386" t="str">
        <f t="shared" si="44"/>
        <v>PONTHIERRY15</v>
      </c>
      <c r="Q386" t="str">
        <f t="shared" si="39"/>
        <v>LEBRUN</v>
      </c>
      <c r="R386" t="str">
        <f t="shared" si="40"/>
        <v>Guillaume</v>
      </c>
      <c r="S386">
        <f t="shared" si="41"/>
        <v>1214</v>
      </c>
      <c r="T386">
        <f t="shared" si="42"/>
        <v>97076301</v>
      </c>
      <c r="U386" t="s">
        <v>1965</v>
      </c>
    </row>
    <row r="387" spans="1:21" hidden="1" x14ac:dyDescent="0.2">
      <c r="A387" s="186" t="s">
        <v>129</v>
      </c>
      <c r="B387" s="128">
        <f t="shared" si="43"/>
        <v>16</v>
      </c>
      <c r="C387" s="128" t="s">
        <v>1896</v>
      </c>
      <c r="D387" s="128" t="s">
        <v>764</v>
      </c>
      <c r="E387" s="127">
        <v>1433</v>
      </c>
      <c r="F387" s="127">
        <v>97093508</v>
      </c>
      <c r="G387" s="127" t="s">
        <v>1643</v>
      </c>
      <c r="H387" s="187"/>
      <c r="I387" s="187"/>
      <c r="P387" t="str">
        <f t="shared" si="44"/>
        <v>PONTHIERRY16</v>
      </c>
      <c r="Q387" t="str">
        <f t="shared" si="39"/>
        <v>MAZURIER</v>
      </c>
      <c r="R387" t="str">
        <f t="shared" si="40"/>
        <v>Claude</v>
      </c>
      <c r="S387">
        <f t="shared" si="41"/>
        <v>1433</v>
      </c>
      <c r="T387">
        <f t="shared" si="42"/>
        <v>97093508</v>
      </c>
      <c r="U387" t="s">
        <v>1966</v>
      </c>
    </row>
    <row r="388" spans="1:21" hidden="1" x14ac:dyDescent="0.2">
      <c r="A388" s="186" t="s">
        <v>129</v>
      </c>
      <c r="B388" s="128">
        <f t="shared" si="43"/>
        <v>17</v>
      </c>
      <c r="C388" s="128" t="s">
        <v>97</v>
      </c>
      <c r="D388" s="128" t="s">
        <v>309</v>
      </c>
      <c r="E388" s="127">
        <v>776</v>
      </c>
      <c r="F388" s="127">
        <v>87408915</v>
      </c>
      <c r="G388" s="127" t="s">
        <v>1643</v>
      </c>
      <c r="H388" s="187"/>
      <c r="I388" s="187"/>
      <c r="P388" t="str">
        <f t="shared" si="44"/>
        <v>PONTHIERRY17</v>
      </c>
      <c r="Q388" t="str">
        <f t="shared" si="39"/>
        <v>MONGIN</v>
      </c>
      <c r="R388" t="str">
        <f t="shared" si="40"/>
        <v>Thierry</v>
      </c>
      <c r="S388">
        <f t="shared" si="41"/>
        <v>776</v>
      </c>
      <c r="T388">
        <f t="shared" si="42"/>
        <v>87408915</v>
      </c>
      <c r="U388" t="s">
        <v>208</v>
      </c>
    </row>
    <row r="389" spans="1:21" hidden="1" x14ac:dyDescent="0.2">
      <c r="A389" s="186" t="s">
        <v>129</v>
      </c>
      <c r="B389" s="128">
        <f t="shared" si="43"/>
        <v>18</v>
      </c>
      <c r="C389" s="128" t="s">
        <v>96</v>
      </c>
      <c r="D389" s="128" t="s">
        <v>293</v>
      </c>
      <c r="E389" s="127">
        <v>583</v>
      </c>
      <c r="F389" s="127">
        <v>87457722</v>
      </c>
      <c r="G389" s="127" t="s">
        <v>1856</v>
      </c>
      <c r="H389" s="187"/>
      <c r="I389" s="187"/>
      <c r="P389" t="str">
        <f t="shared" si="44"/>
        <v>PONTHIERRY18</v>
      </c>
      <c r="Q389" t="str">
        <f t="shared" si="39"/>
        <v>MONTENEGRO</v>
      </c>
      <c r="R389" t="str">
        <f t="shared" si="40"/>
        <v>Christophe</v>
      </c>
      <c r="S389">
        <f t="shared" si="41"/>
        <v>583</v>
      </c>
      <c r="T389">
        <f t="shared" si="42"/>
        <v>87457722</v>
      </c>
      <c r="U389" t="s">
        <v>209</v>
      </c>
    </row>
    <row r="390" spans="1:21" hidden="1" x14ac:dyDescent="0.2">
      <c r="A390" s="186" t="s">
        <v>129</v>
      </c>
      <c r="B390" s="128">
        <f t="shared" si="43"/>
        <v>19</v>
      </c>
      <c r="C390" s="128" t="s">
        <v>691</v>
      </c>
      <c r="D390" s="128" t="s">
        <v>295</v>
      </c>
      <c r="E390" s="127">
        <v>1075</v>
      </c>
      <c r="F390" s="127">
        <v>87440038</v>
      </c>
      <c r="G390" s="127" t="s">
        <v>1643</v>
      </c>
      <c r="H390" s="187"/>
      <c r="I390" s="187"/>
      <c r="P390" t="str">
        <f t="shared" si="44"/>
        <v>PONTHIERRY19</v>
      </c>
      <c r="Q390" t="str">
        <f t="shared" si="39"/>
        <v>ROUSSEAU</v>
      </c>
      <c r="R390" t="str">
        <f t="shared" si="40"/>
        <v>Pascal</v>
      </c>
      <c r="S390">
        <f t="shared" si="41"/>
        <v>1075</v>
      </c>
      <c r="T390">
        <f t="shared" si="42"/>
        <v>87440038</v>
      </c>
      <c r="U390" t="s">
        <v>701</v>
      </c>
    </row>
    <row r="391" spans="1:21" hidden="1" x14ac:dyDescent="0.2">
      <c r="A391" s="186" t="s">
        <v>129</v>
      </c>
      <c r="B391" s="128">
        <f t="shared" si="43"/>
        <v>20</v>
      </c>
      <c r="C391" s="128" t="s">
        <v>1895</v>
      </c>
      <c r="D391" s="128" t="s">
        <v>861</v>
      </c>
      <c r="E391" s="127">
        <v>1545</v>
      </c>
      <c r="F391" s="127">
        <v>87418924</v>
      </c>
      <c r="G391" s="127" t="s">
        <v>1643</v>
      </c>
      <c r="H391" s="187"/>
      <c r="I391" s="187"/>
      <c r="P391" t="str">
        <f t="shared" si="44"/>
        <v>PONTHIERRY20</v>
      </c>
      <c r="Q391" t="str">
        <f t="shared" si="39"/>
        <v>ROUTIER</v>
      </c>
      <c r="R391" t="str">
        <f t="shared" si="40"/>
        <v>Loic</v>
      </c>
      <c r="S391">
        <f t="shared" si="41"/>
        <v>1545</v>
      </c>
      <c r="T391">
        <f t="shared" si="42"/>
        <v>87418924</v>
      </c>
      <c r="U391" t="s">
        <v>1967</v>
      </c>
    </row>
    <row r="392" spans="1:21" hidden="1" x14ac:dyDescent="0.2">
      <c r="A392" s="186" t="s">
        <v>129</v>
      </c>
      <c r="B392" s="128">
        <f t="shared" si="43"/>
        <v>21</v>
      </c>
      <c r="C392" s="128" t="s">
        <v>934</v>
      </c>
      <c r="D392" s="128" t="s">
        <v>248</v>
      </c>
      <c r="E392" s="127">
        <v>783</v>
      </c>
      <c r="F392" s="127">
        <v>97094318</v>
      </c>
      <c r="G392" s="127" t="s">
        <v>1643</v>
      </c>
      <c r="H392" s="187"/>
      <c r="I392" s="187"/>
      <c r="P392" t="str">
        <f t="shared" si="44"/>
        <v>PONTHIERRY21</v>
      </c>
      <c r="Q392" t="str">
        <f t="shared" ref="Q392:Q455" si="45">C392</f>
        <v>SCEAUX</v>
      </c>
      <c r="R392" t="str">
        <f t="shared" ref="R392:R455" si="46">D392</f>
        <v>Baptiste</v>
      </c>
      <c r="S392">
        <f t="shared" ref="S392:S455" si="47">E392</f>
        <v>783</v>
      </c>
      <c r="T392">
        <f t="shared" ref="T392:T455" si="48">F392</f>
        <v>97094318</v>
      </c>
      <c r="U392" t="s">
        <v>964</v>
      </c>
    </row>
    <row r="393" spans="1:21" hidden="1" x14ac:dyDescent="0.2">
      <c r="A393" s="186" t="s">
        <v>129</v>
      </c>
      <c r="B393" s="128">
        <f t="shared" si="43"/>
        <v>22</v>
      </c>
      <c r="C393" s="128" t="s">
        <v>793</v>
      </c>
      <c r="D393" s="128" t="s">
        <v>279</v>
      </c>
      <c r="E393" s="127">
        <v>500</v>
      </c>
      <c r="F393" s="127">
        <v>97090372</v>
      </c>
      <c r="G393" s="127" t="s">
        <v>1643</v>
      </c>
      <c r="H393" s="187"/>
      <c r="I393" s="187"/>
      <c r="P393" t="str">
        <f t="shared" si="44"/>
        <v>PONTHIERRY22</v>
      </c>
      <c r="Q393" t="str">
        <f t="shared" si="45"/>
        <v>SERVAIS</v>
      </c>
      <c r="R393" t="str">
        <f t="shared" si="46"/>
        <v>Dominique</v>
      </c>
      <c r="S393">
        <f t="shared" si="47"/>
        <v>500</v>
      </c>
      <c r="T393">
        <f t="shared" si="48"/>
        <v>97090372</v>
      </c>
      <c r="U393" t="s">
        <v>807</v>
      </c>
    </row>
    <row r="394" spans="1:21" hidden="1" x14ac:dyDescent="0.2">
      <c r="A394" s="186" t="s">
        <v>129</v>
      </c>
      <c r="B394" s="128">
        <f t="shared" si="43"/>
        <v>23</v>
      </c>
      <c r="C394" s="128" t="s">
        <v>1806</v>
      </c>
      <c r="D394" s="128" t="s">
        <v>308</v>
      </c>
      <c r="E394" s="127">
        <v>512</v>
      </c>
      <c r="F394" s="127">
        <v>97109572</v>
      </c>
      <c r="G394" s="127" t="s">
        <v>1643</v>
      </c>
      <c r="H394" s="187"/>
      <c r="I394" s="187"/>
      <c r="P394" t="str">
        <f t="shared" si="44"/>
        <v>PONTHIERRY23</v>
      </c>
      <c r="Q394" t="str">
        <f t="shared" si="45"/>
        <v>THAMALET</v>
      </c>
      <c r="R394" t="str">
        <f t="shared" si="46"/>
        <v>Marc</v>
      </c>
      <c r="S394">
        <f t="shared" si="47"/>
        <v>512</v>
      </c>
      <c r="T394">
        <f t="shared" si="48"/>
        <v>97109572</v>
      </c>
      <c r="U394" t="s">
        <v>1838</v>
      </c>
    </row>
    <row r="395" spans="1:21" hidden="1" x14ac:dyDescent="0.2">
      <c r="A395" s="186" t="s">
        <v>129</v>
      </c>
      <c r="B395" s="128">
        <f t="shared" si="43"/>
        <v>24</v>
      </c>
      <c r="C395" s="128" t="s">
        <v>690</v>
      </c>
      <c r="D395" s="128" t="s">
        <v>292</v>
      </c>
      <c r="E395" s="127">
        <v>602</v>
      </c>
      <c r="F395" s="127">
        <v>87418120</v>
      </c>
      <c r="G395" s="127" t="s">
        <v>1643</v>
      </c>
      <c r="H395" s="187"/>
      <c r="I395" s="187"/>
      <c r="P395" t="str">
        <f t="shared" si="44"/>
        <v>PONTHIERRY24</v>
      </c>
      <c r="Q395" t="str">
        <f t="shared" si="45"/>
        <v>THEVENET</v>
      </c>
      <c r="R395" t="str">
        <f t="shared" si="46"/>
        <v>Philippe</v>
      </c>
      <c r="S395">
        <f t="shared" si="47"/>
        <v>602</v>
      </c>
      <c r="T395">
        <f t="shared" si="48"/>
        <v>87418120</v>
      </c>
      <c r="U395" t="s">
        <v>700</v>
      </c>
    </row>
    <row r="396" spans="1:21" hidden="1" x14ac:dyDescent="0.2">
      <c r="A396" s="186" t="s">
        <v>129</v>
      </c>
      <c r="B396" s="128">
        <f t="shared" si="43"/>
        <v>25</v>
      </c>
      <c r="C396" s="128" t="s">
        <v>933</v>
      </c>
      <c r="D396" s="128" t="s">
        <v>948</v>
      </c>
      <c r="E396" s="127">
        <v>1027</v>
      </c>
      <c r="F396" s="127">
        <v>97094319</v>
      </c>
      <c r="G396" s="127" t="s">
        <v>1643</v>
      </c>
      <c r="H396" s="187"/>
      <c r="I396" s="187"/>
      <c r="P396" t="str">
        <f t="shared" si="44"/>
        <v>PONTHIERRY25</v>
      </c>
      <c r="Q396" t="str">
        <f t="shared" si="45"/>
        <v>TOURNANT</v>
      </c>
      <c r="R396" t="str">
        <f t="shared" si="46"/>
        <v>Arnaud-Alain</v>
      </c>
      <c r="S396">
        <f t="shared" si="47"/>
        <v>1027</v>
      </c>
      <c r="T396">
        <f t="shared" si="48"/>
        <v>97094319</v>
      </c>
      <c r="U396" t="s">
        <v>963</v>
      </c>
    </row>
    <row r="397" spans="1:21" hidden="1" x14ac:dyDescent="0.2">
      <c r="A397" s="186" t="s">
        <v>136</v>
      </c>
      <c r="B397" s="128">
        <f t="shared" si="43"/>
        <v>1</v>
      </c>
      <c r="C397" s="128" t="s">
        <v>1603</v>
      </c>
      <c r="D397" s="128" t="s">
        <v>1608</v>
      </c>
      <c r="E397" s="127">
        <v>500</v>
      </c>
      <c r="F397" s="127">
        <v>97085381</v>
      </c>
      <c r="G397" s="127" t="s">
        <v>1856</v>
      </c>
      <c r="H397" s="187"/>
      <c r="I397" s="187"/>
      <c r="P397" t="str">
        <f t="shared" si="44"/>
        <v>PROVINS1</v>
      </c>
      <c r="Q397" t="str">
        <f t="shared" si="45"/>
        <v>AJJAJI</v>
      </c>
      <c r="R397" t="str">
        <f t="shared" si="46"/>
        <v>Isaac</v>
      </c>
      <c r="S397">
        <f t="shared" si="47"/>
        <v>500</v>
      </c>
      <c r="T397">
        <f t="shared" si="48"/>
        <v>97085381</v>
      </c>
      <c r="U397" t="s">
        <v>1618</v>
      </c>
    </row>
    <row r="398" spans="1:21" hidden="1" x14ac:dyDescent="0.2">
      <c r="A398" s="186" t="s">
        <v>136</v>
      </c>
      <c r="B398" s="128">
        <f t="shared" si="43"/>
        <v>2</v>
      </c>
      <c r="C398" s="128" t="s">
        <v>1603</v>
      </c>
      <c r="D398" s="128" t="s">
        <v>1609</v>
      </c>
      <c r="E398" s="127">
        <v>500</v>
      </c>
      <c r="F398" s="127">
        <v>97108462</v>
      </c>
      <c r="G398" s="127" t="s">
        <v>1856</v>
      </c>
      <c r="H398" s="187"/>
      <c r="I398" s="187"/>
      <c r="P398" t="str">
        <f t="shared" si="44"/>
        <v>PROVINS2</v>
      </c>
      <c r="Q398" t="str">
        <f t="shared" si="45"/>
        <v>AJJAJI</v>
      </c>
      <c r="R398" t="str">
        <f t="shared" si="46"/>
        <v>Yacoub</v>
      </c>
      <c r="S398">
        <f t="shared" si="47"/>
        <v>500</v>
      </c>
      <c r="T398">
        <f t="shared" si="48"/>
        <v>97108462</v>
      </c>
      <c r="U398" t="s">
        <v>1619</v>
      </c>
    </row>
    <row r="399" spans="1:21" hidden="1" x14ac:dyDescent="0.2">
      <c r="A399" s="186" t="s">
        <v>136</v>
      </c>
      <c r="B399" s="128">
        <f t="shared" si="43"/>
        <v>3</v>
      </c>
      <c r="C399" s="128" t="s">
        <v>1235</v>
      </c>
      <c r="D399" s="128" t="s">
        <v>1331</v>
      </c>
      <c r="E399" s="127">
        <v>500</v>
      </c>
      <c r="F399" s="127">
        <v>97102483</v>
      </c>
      <c r="G399" s="127" t="s">
        <v>1643</v>
      </c>
      <c r="H399" s="187"/>
      <c r="I399" s="187"/>
      <c r="P399" t="str">
        <f t="shared" si="44"/>
        <v>PROVINS3</v>
      </c>
      <c r="Q399" t="str">
        <f t="shared" si="45"/>
        <v>ALDALLAL</v>
      </c>
      <c r="R399" t="str">
        <f t="shared" si="46"/>
        <v>Jamal</v>
      </c>
      <c r="S399">
        <f t="shared" si="47"/>
        <v>500</v>
      </c>
      <c r="T399">
        <f t="shared" si="48"/>
        <v>97102483</v>
      </c>
      <c r="U399" t="s">
        <v>1464</v>
      </c>
    </row>
    <row r="400" spans="1:21" hidden="1" x14ac:dyDescent="0.2">
      <c r="A400" s="186" t="s">
        <v>136</v>
      </c>
      <c r="B400" s="128">
        <f t="shared" si="43"/>
        <v>4</v>
      </c>
      <c r="C400" s="128" t="s">
        <v>1884</v>
      </c>
      <c r="D400" s="128" t="s">
        <v>1885</v>
      </c>
      <c r="E400" s="127">
        <v>500</v>
      </c>
      <c r="F400" s="127">
        <v>97112729</v>
      </c>
      <c r="G400" s="127" t="s">
        <v>1643</v>
      </c>
      <c r="H400" s="187"/>
      <c r="I400" s="187"/>
      <c r="P400" t="str">
        <f t="shared" si="44"/>
        <v>PROVINS4</v>
      </c>
      <c r="Q400" t="str">
        <f t="shared" si="45"/>
        <v>ALOUI</v>
      </c>
      <c r="R400" t="str">
        <f t="shared" si="46"/>
        <v>Mohamed Aziz</v>
      </c>
      <c r="S400">
        <f t="shared" si="47"/>
        <v>500</v>
      </c>
      <c r="T400">
        <f t="shared" si="48"/>
        <v>97112729</v>
      </c>
      <c r="U400" t="s">
        <v>1968</v>
      </c>
    </row>
    <row r="401" spans="1:21" hidden="1" x14ac:dyDescent="0.2">
      <c r="A401" s="186" t="s">
        <v>136</v>
      </c>
      <c r="B401" s="128">
        <f t="shared" si="43"/>
        <v>5</v>
      </c>
      <c r="C401" s="128" t="s">
        <v>1530</v>
      </c>
      <c r="D401" s="128" t="s">
        <v>1551</v>
      </c>
      <c r="E401" s="127">
        <v>500</v>
      </c>
      <c r="F401" s="127">
        <v>97073394</v>
      </c>
      <c r="G401" s="127" t="s">
        <v>1856</v>
      </c>
      <c r="H401" s="187"/>
      <c r="I401" s="187"/>
      <c r="P401" t="str">
        <f t="shared" si="44"/>
        <v>PROVINS5</v>
      </c>
      <c r="Q401" t="str">
        <f t="shared" si="45"/>
        <v>AOUF</v>
      </c>
      <c r="R401" t="str">
        <f t="shared" si="46"/>
        <v>Amir</v>
      </c>
      <c r="S401">
        <f t="shared" si="47"/>
        <v>500</v>
      </c>
      <c r="T401">
        <f t="shared" si="48"/>
        <v>97073394</v>
      </c>
      <c r="U401" t="s">
        <v>1574</v>
      </c>
    </row>
    <row r="402" spans="1:21" hidden="1" x14ac:dyDescent="0.2">
      <c r="A402" s="186" t="s">
        <v>136</v>
      </c>
      <c r="B402" s="128">
        <f t="shared" si="43"/>
        <v>6</v>
      </c>
      <c r="C402" s="128" t="s">
        <v>1246</v>
      </c>
      <c r="D402" s="128" t="s">
        <v>1335</v>
      </c>
      <c r="E402" s="127">
        <v>500</v>
      </c>
      <c r="F402" s="127">
        <v>87459274</v>
      </c>
      <c r="G402" s="127" t="s">
        <v>1856</v>
      </c>
      <c r="H402" s="187"/>
      <c r="I402" s="187"/>
      <c r="P402" t="str">
        <f t="shared" si="44"/>
        <v>PROVINS6</v>
      </c>
      <c r="Q402" t="str">
        <f t="shared" si="45"/>
        <v>AVELINE</v>
      </c>
      <c r="R402" t="str">
        <f t="shared" si="46"/>
        <v>Abdel</v>
      </c>
      <c r="S402">
        <f t="shared" si="47"/>
        <v>500</v>
      </c>
      <c r="T402">
        <f t="shared" si="48"/>
        <v>87459274</v>
      </c>
      <c r="U402" t="s">
        <v>1477</v>
      </c>
    </row>
    <row r="403" spans="1:21" hidden="1" x14ac:dyDescent="0.2">
      <c r="A403" s="186" t="s">
        <v>136</v>
      </c>
      <c r="B403" s="128">
        <f t="shared" si="43"/>
        <v>7</v>
      </c>
      <c r="C403" s="128" t="s">
        <v>1633</v>
      </c>
      <c r="D403" s="128" t="s">
        <v>1642</v>
      </c>
      <c r="E403" s="127">
        <v>500</v>
      </c>
      <c r="F403" s="127">
        <v>97077627</v>
      </c>
      <c r="G403" s="127" t="s">
        <v>1856</v>
      </c>
      <c r="H403" s="187"/>
      <c r="I403" s="187"/>
      <c r="P403" t="str">
        <f t="shared" si="44"/>
        <v>PROVINS7</v>
      </c>
      <c r="Q403" t="str">
        <f t="shared" si="45"/>
        <v>BEKTACHE</v>
      </c>
      <c r="R403" t="str">
        <f t="shared" si="46"/>
        <v>Imrane</v>
      </c>
      <c r="S403">
        <f t="shared" si="47"/>
        <v>500</v>
      </c>
      <c r="T403">
        <f t="shared" si="48"/>
        <v>97077627</v>
      </c>
      <c r="U403" t="s">
        <v>1656</v>
      </c>
    </row>
    <row r="404" spans="1:21" hidden="1" x14ac:dyDescent="0.2">
      <c r="A404" s="186" t="s">
        <v>136</v>
      </c>
      <c r="B404" s="128">
        <f t="shared" si="43"/>
        <v>8</v>
      </c>
      <c r="C404" s="128" t="s">
        <v>1879</v>
      </c>
      <c r="D404" s="128" t="s">
        <v>305</v>
      </c>
      <c r="E404" s="127">
        <v>500</v>
      </c>
      <c r="F404" s="127">
        <v>97110728</v>
      </c>
      <c r="G404" s="127" t="s">
        <v>1643</v>
      </c>
      <c r="H404" s="187"/>
      <c r="I404" s="187"/>
      <c r="P404" t="str">
        <f t="shared" si="44"/>
        <v>PROVINS8</v>
      </c>
      <c r="Q404" t="str">
        <f t="shared" si="45"/>
        <v>BOUVIER</v>
      </c>
      <c r="R404" t="str">
        <f t="shared" si="46"/>
        <v>Victor</v>
      </c>
      <c r="S404">
        <f t="shared" si="47"/>
        <v>500</v>
      </c>
      <c r="T404">
        <f t="shared" si="48"/>
        <v>97110728</v>
      </c>
      <c r="U404" t="s">
        <v>1969</v>
      </c>
    </row>
    <row r="405" spans="1:21" hidden="1" x14ac:dyDescent="0.2">
      <c r="A405" s="186" t="s">
        <v>136</v>
      </c>
      <c r="B405" s="128">
        <f t="shared" si="43"/>
        <v>9</v>
      </c>
      <c r="C405" s="128" t="s">
        <v>84</v>
      </c>
      <c r="D405" s="128" t="s">
        <v>321</v>
      </c>
      <c r="E405" s="127">
        <v>734</v>
      </c>
      <c r="F405" s="127">
        <v>3553601</v>
      </c>
      <c r="G405" s="127" t="s">
        <v>1856</v>
      </c>
      <c r="H405" s="187"/>
      <c r="I405" s="187"/>
      <c r="P405" t="str">
        <f t="shared" si="44"/>
        <v>PROVINS9</v>
      </c>
      <c r="Q405" t="str">
        <f t="shared" si="45"/>
        <v>BURY</v>
      </c>
      <c r="R405" t="str">
        <f t="shared" si="46"/>
        <v>Jean</v>
      </c>
      <c r="S405">
        <f t="shared" si="47"/>
        <v>734</v>
      </c>
      <c r="T405">
        <f t="shared" si="48"/>
        <v>3553601</v>
      </c>
      <c r="U405" t="s">
        <v>210</v>
      </c>
    </row>
    <row r="406" spans="1:21" hidden="1" x14ac:dyDescent="0.2">
      <c r="A406" s="186" t="s">
        <v>136</v>
      </c>
      <c r="B406" s="128">
        <f t="shared" si="43"/>
        <v>10</v>
      </c>
      <c r="C406" s="128" t="s">
        <v>501</v>
      </c>
      <c r="D406" s="128" t="s">
        <v>317</v>
      </c>
      <c r="E406" s="127">
        <v>593</v>
      </c>
      <c r="F406" s="127">
        <v>97064418</v>
      </c>
      <c r="G406" s="127" t="s">
        <v>1643</v>
      </c>
      <c r="H406" s="187"/>
      <c r="I406" s="187"/>
      <c r="P406" t="str">
        <f t="shared" si="44"/>
        <v>PROVINS10</v>
      </c>
      <c r="Q406" t="str">
        <f t="shared" si="45"/>
        <v>CAPRAIS</v>
      </c>
      <c r="R406" t="str">
        <f t="shared" si="46"/>
        <v>Thomas</v>
      </c>
      <c r="S406">
        <f t="shared" si="47"/>
        <v>593</v>
      </c>
      <c r="T406">
        <f t="shared" si="48"/>
        <v>97064418</v>
      </c>
      <c r="U406" t="s">
        <v>502</v>
      </c>
    </row>
    <row r="407" spans="1:21" hidden="1" x14ac:dyDescent="0.2">
      <c r="A407" s="186" t="s">
        <v>136</v>
      </c>
      <c r="B407" s="128">
        <f t="shared" si="43"/>
        <v>11</v>
      </c>
      <c r="C407" s="128" t="s">
        <v>1874</v>
      </c>
      <c r="D407" s="128" t="s">
        <v>1875</v>
      </c>
      <c r="E407" s="127">
        <v>500</v>
      </c>
      <c r="F407" s="127">
        <v>97110454</v>
      </c>
      <c r="G407" s="127" t="s">
        <v>1643</v>
      </c>
      <c r="H407" s="187"/>
      <c r="I407" s="187"/>
      <c r="P407" t="str">
        <f t="shared" si="44"/>
        <v>PROVINS11</v>
      </c>
      <c r="Q407" t="str">
        <f t="shared" si="45"/>
        <v>CHARETIE</v>
      </c>
      <c r="R407" t="str">
        <f t="shared" si="46"/>
        <v>Nathael</v>
      </c>
      <c r="S407">
        <f t="shared" si="47"/>
        <v>500</v>
      </c>
      <c r="T407">
        <f t="shared" si="48"/>
        <v>97110454</v>
      </c>
      <c r="U407" t="s">
        <v>1970</v>
      </c>
    </row>
    <row r="408" spans="1:21" hidden="1" x14ac:dyDescent="0.2">
      <c r="A408" s="186" t="s">
        <v>136</v>
      </c>
      <c r="B408" s="128">
        <f t="shared" si="43"/>
        <v>12</v>
      </c>
      <c r="C408" s="128" t="s">
        <v>1604</v>
      </c>
      <c r="D408" s="128" t="s">
        <v>315</v>
      </c>
      <c r="E408" s="127">
        <v>500</v>
      </c>
      <c r="F408" s="127">
        <v>97083407</v>
      </c>
      <c r="G408" s="127" t="s">
        <v>1856</v>
      </c>
      <c r="H408" s="187"/>
      <c r="I408" s="187"/>
      <c r="P408" t="str">
        <f t="shared" si="44"/>
        <v>PROVINS12</v>
      </c>
      <c r="Q408" t="str">
        <f t="shared" si="45"/>
        <v>CHAUDRON-BIASOTTO</v>
      </c>
      <c r="R408" t="str">
        <f t="shared" si="46"/>
        <v>Antoine</v>
      </c>
      <c r="S408">
        <f t="shared" si="47"/>
        <v>500</v>
      </c>
      <c r="T408">
        <f t="shared" si="48"/>
        <v>97083407</v>
      </c>
      <c r="U408" t="s">
        <v>1620</v>
      </c>
    </row>
    <row r="409" spans="1:21" hidden="1" x14ac:dyDescent="0.2">
      <c r="A409" s="186" t="s">
        <v>136</v>
      </c>
      <c r="B409" s="128">
        <f t="shared" si="43"/>
        <v>13</v>
      </c>
      <c r="C409" s="128" t="s">
        <v>1883</v>
      </c>
      <c r="D409" s="128" t="s">
        <v>707</v>
      </c>
      <c r="E409" s="127">
        <v>500</v>
      </c>
      <c r="F409" s="127">
        <v>97057767</v>
      </c>
      <c r="G409" s="127" t="s">
        <v>1643</v>
      </c>
      <c r="H409" s="187"/>
      <c r="I409" s="187"/>
      <c r="P409" t="str">
        <f t="shared" si="44"/>
        <v>PROVINS13</v>
      </c>
      <c r="Q409" t="str">
        <f t="shared" si="45"/>
        <v>CIURKO</v>
      </c>
      <c r="R409" t="str">
        <f t="shared" si="46"/>
        <v>Alban</v>
      </c>
      <c r="S409">
        <f t="shared" si="47"/>
        <v>500</v>
      </c>
      <c r="T409">
        <f t="shared" si="48"/>
        <v>97057767</v>
      </c>
      <c r="U409" t="s">
        <v>1971</v>
      </c>
    </row>
    <row r="410" spans="1:21" hidden="1" x14ac:dyDescent="0.2">
      <c r="A410" s="186" t="s">
        <v>136</v>
      </c>
      <c r="B410" s="128">
        <f t="shared" si="43"/>
        <v>14</v>
      </c>
      <c r="C410" s="128" t="s">
        <v>1883</v>
      </c>
      <c r="D410" s="128" t="s">
        <v>614</v>
      </c>
      <c r="E410" s="127">
        <v>500</v>
      </c>
      <c r="F410" s="127">
        <v>97057768</v>
      </c>
      <c r="G410" s="127" t="s">
        <v>1643</v>
      </c>
      <c r="H410" s="187"/>
      <c r="I410" s="187"/>
      <c r="P410" t="str">
        <f t="shared" si="44"/>
        <v>PROVINS14</v>
      </c>
      <c r="Q410" t="str">
        <f t="shared" si="45"/>
        <v>CIURKO</v>
      </c>
      <c r="R410" t="str">
        <f t="shared" si="46"/>
        <v>Elise</v>
      </c>
      <c r="S410">
        <f t="shared" si="47"/>
        <v>500</v>
      </c>
      <c r="T410">
        <f t="shared" si="48"/>
        <v>97057768</v>
      </c>
      <c r="U410" t="s">
        <v>1972</v>
      </c>
    </row>
    <row r="411" spans="1:21" hidden="1" x14ac:dyDescent="0.2">
      <c r="A411" s="186" t="s">
        <v>136</v>
      </c>
      <c r="B411" s="128">
        <f t="shared" si="43"/>
        <v>15</v>
      </c>
      <c r="C411" s="128" t="s">
        <v>1883</v>
      </c>
      <c r="D411" s="128" t="s">
        <v>1886</v>
      </c>
      <c r="E411" s="127">
        <v>500</v>
      </c>
      <c r="F411" s="127">
        <v>97110718</v>
      </c>
      <c r="G411" s="127" t="s">
        <v>1643</v>
      </c>
      <c r="H411" s="187"/>
      <c r="I411" s="187"/>
      <c r="P411" t="str">
        <f t="shared" si="44"/>
        <v>PROVINS15</v>
      </c>
      <c r="Q411" t="str">
        <f t="shared" si="45"/>
        <v>CIURKO</v>
      </c>
      <c r="R411" t="str">
        <f t="shared" si="46"/>
        <v>Rémy</v>
      </c>
      <c r="S411">
        <f t="shared" si="47"/>
        <v>500</v>
      </c>
      <c r="T411">
        <f t="shared" si="48"/>
        <v>97110718</v>
      </c>
      <c r="U411" t="s">
        <v>1975</v>
      </c>
    </row>
    <row r="412" spans="1:21" hidden="1" x14ac:dyDescent="0.2">
      <c r="A412" s="186" t="s">
        <v>136</v>
      </c>
      <c r="B412" s="128">
        <f t="shared" si="43"/>
        <v>16</v>
      </c>
      <c r="C412" s="128" t="s">
        <v>1237</v>
      </c>
      <c r="D412" s="128" t="s">
        <v>305</v>
      </c>
      <c r="E412" s="127">
        <v>500</v>
      </c>
      <c r="F412" s="127">
        <v>97103320</v>
      </c>
      <c r="G412" s="127" t="s">
        <v>1856</v>
      </c>
      <c r="H412" s="187"/>
      <c r="I412" s="187"/>
      <c r="P412" t="str">
        <f t="shared" si="44"/>
        <v>PROVINS16</v>
      </c>
      <c r="Q412" t="str">
        <f t="shared" si="45"/>
        <v>CLERGEOT</v>
      </c>
      <c r="R412" t="str">
        <f t="shared" si="46"/>
        <v>Victor</v>
      </c>
      <c r="S412">
        <f t="shared" si="47"/>
        <v>500</v>
      </c>
      <c r="T412">
        <f t="shared" si="48"/>
        <v>97103320</v>
      </c>
      <c r="U412" t="s">
        <v>1467</v>
      </c>
    </row>
    <row r="413" spans="1:21" hidden="1" x14ac:dyDescent="0.2">
      <c r="A413" s="186" t="s">
        <v>136</v>
      </c>
      <c r="B413" s="128">
        <f t="shared" si="43"/>
        <v>17</v>
      </c>
      <c r="C413" s="128" t="s">
        <v>91</v>
      </c>
      <c r="D413" s="128" t="s">
        <v>348</v>
      </c>
      <c r="E413" s="127">
        <v>1164</v>
      </c>
      <c r="F413" s="127">
        <v>87424780</v>
      </c>
      <c r="G413" s="127" t="s">
        <v>1643</v>
      </c>
      <c r="H413" s="187"/>
      <c r="I413" s="187"/>
      <c r="P413" t="str">
        <f t="shared" si="44"/>
        <v>PROVINS17</v>
      </c>
      <c r="Q413" t="str">
        <f t="shared" si="45"/>
        <v>DAGORET</v>
      </c>
      <c r="R413" t="str">
        <f t="shared" si="46"/>
        <v>Matthieu</v>
      </c>
      <c r="S413">
        <f t="shared" si="47"/>
        <v>1164</v>
      </c>
      <c r="T413">
        <f t="shared" si="48"/>
        <v>87424780</v>
      </c>
      <c r="U413" t="s">
        <v>211</v>
      </c>
    </row>
    <row r="414" spans="1:21" hidden="1" x14ac:dyDescent="0.2">
      <c r="A414" s="186" t="s">
        <v>136</v>
      </c>
      <c r="B414" s="128">
        <f t="shared" si="43"/>
        <v>18</v>
      </c>
      <c r="C414" s="128" t="s">
        <v>1234</v>
      </c>
      <c r="D414" s="128" t="s">
        <v>284</v>
      </c>
      <c r="E414" s="127">
        <v>500</v>
      </c>
      <c r="F414" s="127">
        <v>97103033</v>
      </c>
      <c r="G414" s="127" t="s">
        <v>1856</v>
      </c>
      <c r="H414" s="187"/>
      <c r="I414" s="187"/>
      <c r="P414" t="str">
        <f t="shared" si="44"/>
        <v>PROVINS18</v>
      </c>
      <c r="Q414" t="str">
        <f t="shared" si="45"/>
        <v>DE BELLEVILLE</v>
      </c>
      <c r="R414" t="str">
        <f t="shared" si="46"/>
        <v>Vincent</v>
      </c>
      <c r="S414">
        <f t="shared" si="47"/>
        <v>500</v>
      </c>
      <c r="T414">
        <f t="shared" si="48"/>
        <v>97103033</v>
      </c>
      <c r="U414" t="s">
        <v>1509</v>
      </c>
    </row>
    <row r="415" spans="1:21" hidden="1" x14ac:dyDescent="0.2">
      <c r="A415" s="186" t="s">
        <v>136</v>
      </c>
      <c r="B415" s="128">
        <f t="shared" si="43"/>
        <v>19</v>
      </c>
      <c r="C415" s="128" t="s">
        <v>1878</v>
      </c>
      <c r="D415" s="128" t="s">
        <v>661</v>
      </c>
      <c r="E415" s="127">
        <v>500</v>
      </c>
      <c r="F415" s="127">
        <v>97110729</v>
      </c>
      <c r="G415" s="127" t="s">
        <v>1643</v>
      </c>
      <c r="H415" s="187"/>
      <c r="I415" s="187"/>
      <c r="P415" t="str">
        <f t="shared" si="44"/>
        <v>PROVINS19</v>
      </c>
      <c r="Q415" t="str">
        <f t="shared" si="45"/>
        <v>DEHES</v>
      </c>
      <c r="R415" t="str">
        <f t="shared" si="46"/>
        <v>Enzo</v>
      </c>
      <c r="S415">
        <f t="shared" si="47"/>
        <v>500</v>
      </c>
      <c r="T415">
        <f t="shared" si="48"/>
        <v>97110729</v>
      </c>
      <c r="U415" t="s">
        <v>1973</v>
      </c>
    </row>
    <row r="416" spans="1:21" hidden="1" x14ac:dyDescent="0.2">
      <c r="A416" s="186" t="s">
        <v>136</v>
      </c>
      <c r="B416" s="128">
        <f t="shared" si="43"/>
        <v>20</v>
      </c>
      <c r="C416" s="128" t="s">
        <v>87</v>
      </c>
      <c r="D416" s="128" t="s">
        <v>301</v>
      </c>
      <c r="E416" s="127">
        <v>870</v>
      </c>
      <c r="F416" s="127">
        <v>55354375</v>
      </c>
      <c r="G416" s="127" t="s">
        <v>1643</v>
      </c>
      <c r="H416" s="187"/>
      <c r="I416" s="187"/>
      <c r="P416" t="str">
        <f t="shared" si="44"/>
        <v>PROVINS20</v>
      </c>
      <c r="Q416" t="str">
        <f t="shared" si="45"/>
        <v>DI SALVO</v>
      </c>
      <c r="R416" t="str">
        <f t="shared" si="46"/>
        <v>David</v>
      </c>
      <c r="S416">
        <f t="shared" si="47"/>
        <v>870</v>
      </c>
      <c r="T416">
        <f t="shared" si="48"/>
        <v>55354375</v>
      </c>
      <c r="U416" t="s">
        <v>1508</v>
      </c>
    </row>
    <row r="417" spans="1:21" hidden="1" x14ac:dyDescent="0.2">
      <c r="A417" s="186" t="s">
        <v>136</v>
      </c>
      <c r="B417" s="128">
        <f t="shared" si="43"/>
        <v>21</v>
      </c>
      <c r="C417" s="128" t="s">
        <v>87</v>
      </c>
      <c r="D417" s="128" t="s">
        <v>599</v>
      </c>
      <c r="E417" s="127">
        <v>537</v>
      </c>
      <c r="F417" s="127">
        <v>87462933</v>
      </c>
      <c r="G417" s="127" t="s">
        <v>1643</v>
      </c>
      <c r="H417" s="187"/>
      <c r="I417" s="187"/>
      <c r="P417" t="str">
        <f t="shared" si="44"/>
        <v>PROVINS21</v>
      </c>
      <c r="Q417" t="str">
        <f t="shared" si="45"/>
        <v>DI SALVO</v>
      </c>
      <c r="R417" t="str">
        <f t="shared" si="46"/>
        <v>Lorenzo</v>
      </c>
      <c r="S417">
        <f t="shared" si="47"/>
        <v>537</v>
      </c>
      <c r="T417">
        <f t="shared" si="48"/>
        <v>87462933</v>
      </c>
      <c r="U417" t="s">
        <v>608</v>
      </c>
    </row>
    <row r="418" spans="1:21" hidden="1" x14ac:dyDescent="0.2">
      <c r="A418" s="186" t="s">
        <v>136</v>
      </c>
      <c r="B418" s="128">
        <f t="shared" si="43"/>
        <v>22</v>
      </c>
      <c r="C418" s="128" t="s">
        <v>87</v>
      </c>
      <c r="D418" s="128" t="s">
        <v>350</v>
      </c>
      <c r="E418" s="127">
        <v>1060</v>
      </c>
      <c r="F418" s="127">
        <v>87431801</v>
      </c>
      <c r="G418" s="127" t="s">
        <v>1643</v>
      </c>
      <c r="H418" s="187"/>
      <c r="I418" s="187"/>
      <c r="P418" t="str">
        <f t="shared" si="44"/>
        <v>PROVINS22</v>
      </c>
      <c r="Q418" t="str">
        <f t="shared" si="45"/>
        <v>DI SALVO</v>
      </c>
      <c r="R418" t="str">
        <f t="shared" si="46"/>
        <v>Luca</v>
      </c>
      <c r="S418">
        <f t="shared" si="47"/>
        <v>1060</v>
      </c>
      <c r="T418">
        <f t="shared" si="48"/>
        <v>87431801</v>
      </c>
      <c r="U418" t="s">
        <v>212</v>
      </c>
    </row>
    <row r="419" spans="1:21" hidden="1" x14ac:dyDescent="0.2">
      <c r="A419" s="186" t="s">
        <v>136</v>
      </c>
      <c r="B419" s="128">
        <f t="shared" si="43"/>
        <v>23</v>
      </c>
      <c r="C419" s="128" t="s">
        <v>87</v>
      </c>
      <c r="D419" s="128" t="s">
        <v>461</v>
      </c>
      <c r="E419" s="127">
        <v>514</v>
      </c>
      <c r="F419" s="127">
        <v>87462934</v>
      </c>
      <c r="G419" s="127" t="s">
        <v>1643</v>
      </c>
      <c r="H419" s="187"/>
      <c r="I419" s="187"/>
      <c r="P419" t="str">
        <f t="shared" si="44"/>
        <v>PROVINS23</v>
      </c>
      <c r="Q419" t="str">
        <f t="shared" si="45"/>
        <v>DI SALVO</v>
      </c>
      <c r="R419" t="str">
        <f t="shared" si="46"/>
        <v>Matteo</v>
      </c>
      <c r="S419">
        <f t="shared" si="47"/>
        <v>514</v>
      </c>
      <c r="T419">
        <f t="shared" si="48"/>
        <v>87462934</v>
      </c>
      <c r="U419" t="s">
        <v>609</v>
      </c>
    </row>
    <row r="420" spans="1:21" hidden="1" x14ac:dyDescent="0.2">
      <c r="A420" s="186" t="s">
        <v>136</v>
      </c>
      <c r="B420" s="128">
        <f t="shared" si="43"/>
        <v>24</v>
      </c>
      <c r="C420" s="128" t="s">
        <v>88</v>
      </c>
      <c r="D420" s="128" t="s">
        <v>304</v>
      </c>
      <c r="E420" s="127">
        <v>740</v>
      </c>
      <c r="F420" s="127">
        <v>87408935</v>
      </c>
      <c r="G420" s="127" t="s">
        <v>1643</v>
      </c>
      <c r="H420" s="187"/>
      <c r="I420" s="187"/>
      <c r="P420" t="str">
        <f t="shared" si="44"/>
        <v>PROVINS24</v>
      </c>
      <c r="Q420" t="str">
        <f t="shared" si="45"/>
        <v>DUCHAMP</v>
      </c>
      <c r="R420" t="str">
        <f t="shared" si="46"/>
        <v>Jerome</v>
      </c>
      <c r="S420">
        <f t="shared" si="47"/>
        <v>740</v>
      </c>
      <c r="T420">
        <f t="shared" si="48"/>
        <v>87408935</v>
      </c>
      <c r="U420" t="s">
        <v>213</v>
      </c>
    </row>
    <row r="421" spans="1:21" hidden="1" x14ac:dyDescent="0.2">
      <c r="A421" s="186" t="s">
        <v>136</v>
      </c>
      <c r="B421" s="128">
        <f t="shared" si="43"/>
        <v>25</v>
      </c>
      <c r="C421" s="128" t="s">
        <v>48</v>
      </c>
      <c r="D421" s="128" t="s">
        <v>351</v>
      </c>
      <c r="E421" s="127">
        <v>1121</v>
      </c>
      <c r="F421" s="127">
        <v>55329206</v>
      </c>
      <c r="G421" s="127" t="s">
        <v>1643</v>
      </c>
      <c r="H421" s="187"/>
      <c r="I421" s="187"/>
      <c r="P421" t="str">
        <f t="shared" si="44"/>
        <v>PROVINS25</v>
      </c>
      <c r="Q421" t="str">
        <f t="shared" si="45"/>
        <v>DUVAL</v>
      </c>
      <c r="R421" t="str">
        <f t="shared" si="46"/>
        <v>Luc</v>
      </c>
      <c r="S421">
        <f t="shared" si="47"/>
        <v>1121</v>
      </c>
      <c r="T421">
        <f t="shared" si="48"/>
        <v>55329206</v>
      </c>
      <c r="U421" t="s">
        <v>214</v>
      </c>
    </row>
    <row r="422" spans="1:21" hidden="1" x14ac:dyDescent="0.2">
      <c r="A422" s="186" t="s">
        <v>136</v>
      </c>
      <c r="B422" s="128">
        <f t="shared" si="43"/>
        <v>26</v>
      </c>
      <c r="C422" s="128" t="s">
        <v>48</v>
      </c>
      <c r="D422" s="128" t="s">
        <v>1877</v>
      </c>
      <c r="E422" s="127">
        <v>500</v>
      </c>
      <c r="F422" s="127">
        <v>97111721</v>
      </c>
      <c r="G422" s="127" t="s">
        <v>1643</v>
      </c>
      <c r="H422" s="187"/>
      <c r="I422" s="187"/>
      <c r="P422" t="str">
        <f t="shared" si="44"/>
        <v>PROVINS26</v>
      </c>
      <c r="Q422" t="str">
        <f t="shared" si="45"/>
        <v>DUVAL</v>
      </c>
      <c r="R422" t="str">
        <f t="shared" si="46"/>
        <v>Malo</v>
      </c>
      <c r="S422">
        <f t="shared" si="47"/>
        <v>500</v>
      </c>
      <c r="T422">
        <f t="shared" si="48"/>
        <v>97111721</v>
      </c>
      <c r="U422" t="s">
        <v>1974</v>
      </c>
    </row>
    <row r="423" spans="1:21" hidden="1" x14ac:dyDescent="0.2">
      <c r="A423" s="186" t="s">
        <v>136</v>
      </c>
      <c r="B423" s="128">
        <f t="shared" ref="B423:B486" si="49">IF(A423=A422,B422+1,1)</f>
        <v>27</v>
      </c>
      <c r="C423" s="128" t="s">
        <v>454</v>
      </c>
      <c r="D423" s="128" t="s">
        <v>456</v>
      </c>
      <c r="E423" s="127">
        <v>1159</v>
      </c>
      <c r="F423" s="127">
        <v>97060287</v>
      </c>
      <c r="G423" s="127" t="s">
        <v>1643</v>
      </c>
      <c r="H423" s="187"/>
      <c r="I423" s="187"/>
      <c r="P423" t="str">
        <f t="shared" ref="P423:P486" si="50">A423&amp;B423</f>
        <v>PROVINS27</v>
      </c>
      <c r="Q423" t="str">
        <f t="shared" si="45"/>
        <v>FAVREAU</v>
      </c>
      <c r="R423" t="str">
        <f t="shared" si="46"/>
        <v>Celian</v>
      </c>
      <c r="S423">
        <f t="shared" si="47"/>
        <v>1159</v>
      </c>
      <c r="T423">
        <f t="shared" si="48"/>
        <v>97060287</v>
      </c>
      <c r="U423" t="s">
        <v>455</v>
      </c>
    </row>
    <row r="424" spans="1:21" hidden="1" x14ac:dyDescent="0.2">
      <c r="A424" s="186" t="s">
        <v>136</v>
      </c>
      <c r="B424" s="128">
        <f t="shared" si="49"/>
        <v>28</v>
      </c>
      <c r="C424" s="128" t="s">
        <v>454</v>
      </c>
      <c r="D424" s="128" t="s">
        <v>569</v>
      </c>
      <c r="E424" s="127">
        <v>716</v>
      </c>
      <c r="F424" s="127">
        <v>97076944</v>
      </c>
      <c r="G424" s="127" t="s">
        <v>1643</v>
      </c>
      <c r="H424" s="187"/>
      <c r="I424" s="187"/>
      <c r="P424" t="str">
        <f t="shared" si="50"/>
        <v>PROVINS28</v>
      </c>
      <c r="Q424" t="str">
        <f t="shared" si="45"/>
        <v>FAVREAU</v>
      </c>
      <c r="R424" t="str">
        <f t="shared" si="46"/>
        <v>Maxence</v>
      </c>
      <c r="S424">
        <f t="shared" si="47"/>
        <v>716</v>
      </c>
      <c r="T424">
        <f t="shared" si="48"/>
        <v>97076944</v>
      </c>
      <c r="U424" t="s">
        <v>603</v>
      </c>
    </row>
    <row r="425" spans="1:21" hidden="1" x14ac:dyDescent="0.2">
      <c r="A425" s="186" t="s">
        <v>136</v>
      </c>
      <c r="B425" s="128">
        <f t="shared" si="49"/>
        <v>29</v>
      </c>
      <c r="C425" s="128" t="s">
        <v>86</v>
      </c>
      <c r="D425" s="128" t="s">
        <v>343</v>
      </c>
      <c r="E425" s="127">
        <v>656</v>
      </c>
      <c r="F425" s="127">
        <v>55342187</v>
      </c>
      <c r="G425" s="127" t="s">
        <v>1856</v>
      </c>
      <c r="H425" s="187"/>
      <c r="I425" s="187"/>
      <c r="P425" t="str">
        <f t="shared" si="50"/>
        <v>PROVINS29</v>
      </c>
      <c r="Q425" t="str">
        <f t="shared" si="45"/>
        <v>FEROT</v>
      </c>
      <c r="R425" t="str">
        <f t="shared" si="46"/>
        <v>Sylvain</v>
      </c>
      <c r="S425">
        <f t="shared" si="47"/>
        <v>656</v>
      </c>
      <c r="T425">
        <f t="shared" si="48"/>
        <v>55342187</v>
      </c>
      <c r="U425" t="s">
        <v>215</v>
      </c>
    </row>
    <row r="426" spans="1:21" hidden="1" x14ac:dyDescent="0.2">
      <c r="A426" s="186" t="s">
        <v>136</v>
      </c>
      <c r="B426" s="128">
        <f t="shared" si="49"/>
        <v>30</v>
      </c>
      <c r="C426" s="128" t="s">
        <v>1239</v>
      </c>
      <c r="D426" s="128" t="s">
        <v>248</v>
      </c>
      <c r="E426" s="127">
        <v>500</v>
      </c>
      <c r="F426" s="127">
        <v>97102484</v>
      </c>
      <c r="G426" s="127" t="s">
        <v>1643</v>
      </c>
      <c r="H426" s="187"/>
      <c r="I426" s="187"/>
      <c r="P426" t="str">
        <f t="shared" si="50"/>
        <v>PROVINS30</v>
      </c>
      <c r="Q426" t="str">
        <f t="shared" si="45"/>
        <v>FRANTZ</v>
      </c>
      <c r="R426" t="str">
        <f t="shared" si="46"/>
        <v>Baptiste</v>
      </c>
      <c r="S426">
        <f t="shared" si="47"/>
        <v>500</v>
      </c>
      <c r="T426">
        <f t="shared" si="48"/>
        <v>97102484</v>
      </c>
      <c r="U426" t="s">
        <v>1469</v>
      </c>
    </row>
    <row r="427" spans="1:21" hidden="1" x14ac:dyDescent="0.2">
      <c r="A427" s="186" t="s">
        <v>136</v>
      </c>
      <c r="B427" s="128">
        <f t="shared" si="49"/>
        <v>31</v>
      </c>
      <c r="C427" s="128" t="s">
        <v>1236</v>
      </c>
      <c r="D427" s="128" t="s">
        <v>1332</v>
      </c>
      <c r="E427" s="127">
        <v>500</v>
      </c>
      <c r="F427" s="127">
        <v>97105411</v>
      </c>
      <c r="G427" s="127" t="s">
        <v>1856</v>
      </c>
      <c r="H427" s="187"/>
      <c r="I427" s="187"/>
      <c r="P427" t="str">
        <f t="shared" si="50"/>
        <v>PROVINS31</v>
      </c>
      <c r="Q427" t="str">
        <f t="shared" si="45"/>
        <v>FREDERIC-RAYMOND</v>
      </c>
      <c r="R427" t="str">
        <f t="shared" si="46"/>
        <v>Emmy</v>
      </c>
      <c r="S427">
        <f t="shared" si="47"/>
        <v>500</v>
      </c>
      <c r="T427">
        <f t="shared" si="48"/>
        <v>97105411</v>
      </c>
      <c r="U427" t="s">
        <v>1466</v>
      </c>
    </row>
    <row r="428" spans="1:21" hidden="1" x14ac:dyDescent="0.2">
      <c r="A428" s="186" t="s">
        <v>136</v>
      </c>
      <c r="B428" s="128">
        <f t="shared" si="49"/>
        <v>32</v>
      </c>
      <c r="C428" s="128" t="s">
        <v>1876</v>
      </c>
      <c r="D428" s="128" t="s">
        <v>322</v>
      </c>
      <c r="E428" s="127">
        <v>500</v>
      </c>
      <c r="F428" s="127">
        <v>97110455</v>
      </c>
      <c r="G428" s="127" t="s">
        <v>1643</v>
      </c>
      <c r="H428" s="187"/>
      <c r="I428" s="187"/>
      <c r="P428" t="str">
        <f t="shared" si="50"/>
        <v>PROVINS32</v>
      </c>
      <c r="Q428" t="str">
        <f t="shared" si="45"/>
        <v>GILBLAS</v>
      </c>
      <c r="R428" t="str">
        <f t="shared" si="46"/>
        <v>Nathan</v>
      </c>
      <c r="S428">
        <f t="shared" si="47"/>
        <v>500</v>
      </c>
      <c r="T428">
        <f t="shared" si="48"/>
        <v>97110455</v>
      </c>
      <c r="U428" t="s">
        <v>1976</v>
      </c>
    </row>
    <row r="429" spans="1:21" hidden="1" x14ac:dyDescent="0.2">
      <c r="A429" s="186" t="s">
        <v>136</v>
      </c>
      <c r="B429" s="128">
        <f t="shared" si="49"/>
        <v>33</v>
      </c>
      <c r="C429" s="128" t="s">
        <v>1873</v>
      </c>
      <c r="D429" s="128" t="s">
        <v>1300</v>
      </c>
      <c r="E429" s="127">
        <v>500</v>
      </c>
      <c r="F429" s="127">
        <v>97112251</v>
      </c>
      <c r="G429" s="127" t="s">
        <v>1643</v>
      </c>
      <c r="H429" s="187"/>
      <c r="I429" s="187"/>
      <c r="P429" t="str">
        <f t="shared" si="50"/>
        <v>PROVINS33</v>
      </c>
      <c r="Q429" t="str">
        <f t="shared" si="45"/>
        <v>GUERREIRO</v>
      </c>
      <c r="R429" t="str">
        <f t="shared" si="46"/>
        <v>Hugo</v>
      </c>
      <c r="S429">
        <f t="shared" si="47"/>
        <v>500</v>
      </c>
      <c r="T429">
        <f t="shared" si="48"/>
        <v>97112251</v>
      </c>
      <c r="U429" t="s">
        <v>1977</v>
      </c>
    </row>
    <row r="430" spans="1:21" hidden="1" x14ac:dyDescent="0.2">
      <c r="A430" s="186" t="s">
        <v>136</v>
      </c>
      <c r="B430" s="128">
        <f t="shared" si="49"/>
        <v>34</v>
      </c>
      <c r="C430" s="128" t="s">
        <v>570</v>
      </c>
      <c r="D430" s="128" t="s">
        <v>314</v>
      </c>
      <c r="E430" s="127">
        <v>593</v>
      </c>
      <c r="F430" s="127">
        <v>97072260</v>
      </c>
      <c r="G430" s="127" t="s">
        <v>1643</v>
      </c>
      <c r="H430" s="187"/>
      <c r="I430" s="187"/>
      <c r="P430" t="str">
        <f t="shared" si="50"/>
        <v>PROVINS34</v>
      </c>
      <c r="Q430" t="str">
        <f t="shared" si="45"/>
        <v>HAG</v>
      </c>
      <c r="R430" t="str">
        <f t="shared" si="46"/>
        <v>Julien</v>
      </c>
      <c r="S430">
        <f t="shared" si="47"/>
        <v>593</v>
      </c>
      <c r="T430">
        <f t="shared" si="48"/>
        <v>97072260</v>
      </c>
      <c r="U430" t="s">
        <v>571</v>
      </c>
    </row>
    <row r="431" spans="1:21" hidden="1" x14ac:dyDescent="0.2">
      <c r="A431" s="186" t="s">
        <v>136</v>
      </c>
      <c r="B431" s="128">
        <f t="shared" si="49"/>
        <v>35</v>
      </c>
      <c r="C431" s="128" t="s">
        <v>1893</v>
      </c>
      <c r="D431" s="128" t="s">
        <v>1057</v>
      </c>
      <c r="E431" s="127">
        <v>500</v>
      </c>
      <c r="F431" s="127">
        <v>97076978</v>
      </c>
      <c r="G431" s="127" t="s">
        <v>1643</v>
      </c>
      <c r="H431" s="187"/>
      <c r="I431" s="187"/>
      <c r="P431" t="str">
        <f t="shared" si="50"/>
        <v>PROVINS35</v>
      </c>
      <c r="Q431" t="str">
        <f t="shared" si="45"/>
        <v>HALLE SMITS</v>
      </c>
      <c r="R431" t="str">
        <f t="shared" si="46"/>
        <v>Clovis</v>
      </c>
      <c r="S431">
        <f t="shared" si="47"/>
        <v>500</v>
      </c>
      <c r="T431">
        <f t="shared" si="48"/>
        <v>97076978</v>
      </c>
      <c r="U431" t="s">
        <v>1978</v>
      </c>
    </row>
    <row r="432" spans="1:21" hidden="1" x14ac:dyDescent="0.2">
      <c r="A432" s="186" t="s">
        <v>136</v>
      </c>
      <c r="B432" s="128">
        <f t="shared" si="49"/>
        <v>36</v>
      </c>
      <c r="C432" s="128" t="s">
        <v>1889</v>
      </c>
      <c r="D432" s="128" t="s">
        <v>300</v>
      </c>
      <c r="E432" s="127">
        <v>500</v>
      </c>
      <c r="F432" s="127">
        <v>97110731</v>
      </c>
      <c r="G432" s="127" t="s">
        <v>1643</v>
      </c>
      <c r="H432" s="187"/>
      <c r="I432" s="187"/>
      <c r="P432" t="str">
        <f t="shared" si="50"/>
        <v>PROVINS36</v>
      </c>
      <c r="Q432" t="str">
        <f t="shared" si="45"/>
        <v>LAHRACH</v>
      </c>
      <c r="R432" t="str">
        <f t="shared" si="46"/>
        <v>Adrien</v>
      </c>
      <c r="S432">
        <f t="shared" si="47"/>
        <v>500</v>
      </c>
      <c r="T432">
        <f t="shared" si="48"/>
        <v>97110731</v>
      </c>
      <c r="U432" t="s">
        <v>1979</v>
      </c>
    </row>
    <row r="433" spans="1:21" hidden="1" x14ac:dyDescent="0.2">
      <c r="A433" s="186" t="s">
        <v>136</v>
      </c>
      <c r="B433" s="128">
        <f t="shared" si="49"/>
        <v>37</v>
      </c>
      <c r="C433" s="128" t="s">
        <v>1891</v>
      </c>
      <c r="D433" s="128" t="s">
        <v>1892</v>
      </c>
      <c r="E433" s="127">
        <v>500</v>
      </c>
      <c r="F433" s="127">
        <v>97112530</v>
      </c>
      <c r="G433" s="127" t="s">
        <v>1643</v>
      </c>
      <c r="H433" s="187"/>
      <c r="I433" s="187"/>
      <c r="P433" t="str">
        <f t="shared" si="50"/>
        <v>PROVINS37</v>
      </c>
      <c r="Q433" t="str">
        <f t="shared" si="45"/>
        <v>LANOIR OLIVEIRA LIMA</v>
      </c>
      <c r="R433" t="str">
        <f t="shared" si="46"/>
        <v>Darren</v>
      </c>
      <c r="S433">
        <f t="shared" si="47"/>
        <v>500</v>
      </c>
      <c r="T433">
        <f t="shared" si="48"/>
        <v>97112530</v>
      </c>
      <c r="U433" t="s">
        <v>1980</v>
      </c>
    </row>
    <row r="434" spans="1:21" hidden="1" x14ac:dyDescent="0.2">
      <c r="A434" s="186" t="s">
        <v>136</v>
      </c>
      <c r="B434" s="128">
        <f t="shared" si="49"/>
        <v>38</v>
      </c>
      <c r="C434" s="128" t="s">
        <v>831</v>
      </c>
      <c r="D434" s="128" t="s">
        <v>1334</v>
      </c>
      <c r="E434" s="127">
        <v>500</v>
      </c>
      <c r="F434" s="127">
        <v>97068870</v>
      </c>
      <c r="G434" s="127" t="s">
        <v>1856</v>
      </c>
      <c r="H434" s="187"/>
      <c r="I434" s="187"/>
      <c r="P434" t="str">
        <f t="shared" si="50"/>
        <v>PROVINS38</v>
      </c>
      <c r="Q434" t="str">
        <f t="shared" si="45"/>
        <v>LE GOFF</v>
      </c>
      <c r="R434" t="str">
        <f t="shared" si="46"/>
        <v>Marceau</v>
      </c>
      <c r="S434">
        <f t="shared" si="47"/>
        <v>500</v>
      </c>
      <c r="T434">
        <f t="shared" si="48"/>
        <v>97068870</v>
      </c>
      <c r="U434" t="s">
        <v>1510</v>
      </c>
    </row>
    <row r="435" spans="1:21" hidden="1" x14ac:dyDescent="0.2">
      <c r="A435" s="186" t="s">
        <v>136</v>
      </c>
      <c r="B435" s="128">
        <f t="shared" si="49"/>
        <v>39</v>
      </c>
      <c r="C435" s="128" t="s">
        <v>831</v>
      </c>
      <c r="D435" s="128" t="s">
        <v>986</v>
      </c>
      <c r="E435" s="127">
        <v>500</v>
      </c>
      <c r="F435" s="127">
        <v>97068871</v>
      </c>
      <c r="G435" s="127" t="s">
        <v>1856</v>
      </c>
      <c r="H435" s="187"/>
      <c r="I435" s="187"/>
      <c r="P435" t="str">
        <f t="shared" si="50"/>
        <v>PROVINS39</v>
      </c>
      <c r="Q435" t="str">
        <f t="shared" si="45"/>
        <v>LE GOFF</v>
      </c>
      <c r="R435" t="str">
        <f t="shared" si="46"/>
        <v>Marius</v>
      </c>
      <c r="S435">
        <f t="shared" si="47"/>
        <v>500</v>
      </c>
      <c r="T435">
        <f t="shared" si="48"/>
        <v>97068871</v>
      </c>
      <c r="U435" t="s">
        <v>2027</v>
      </c>
    </row>
    <row r="436" spans="1:21" hidden="1" x14ac:dyDescent="0.2">
      <c r="A436" s="186" t="s">
        <v>136</v>
      </c>
      <c r="B436" s="128">
        <f t="shared" si="49"/>
        <v>40</v>
      </c>
      <c r="C436" s="128" t="s">
        <v>831</v>
      </c>
      <c r="D436" s="128" t="s">
        <v>1328</v>
      </c>
      <c r="E436" s="127">
        <v>500</v>
      </c>
      <c r="F436" s="127">
        <v>97068872</v>
      </c>
      <c r="G436" s="127" t="s">
        <v>1856</v>
      </c>
      <c r="H436" s="187"/>
      <c r="I436" s="187"/>
      <c r="P436" t="str">
        <f t="shared" si="50"/>
        <v>PROVINS40</v>
      </c>
      <c r="Q436" t="str">
        <f t="shared" si="45"/>
        <v>LE GOFF</v>
      </c>
      <c r="R436" t="str">
        <f t="shared" si="46"/>
        <v>Nathanael</v>
      </c>
      <c r="S436">
        <f t="shared" si="47"/>
        <v>500</v>
      </c>
      <c r="T436">
        <f t="shared" si="48"/>
        <v>97068872</v>
      </c>
      <c r="U436" t="s">
        <v>1982</v>
      </c>
    </row>
    <row r="437" spans="1:21" hidden="1" x14ac:dyDescent="0.2">
      <c r="A437" s="186" t="s">
        <v>136</v>
      </c>
      <c r="B437" s="128">
        <f t="shared" si="49"/>
        <v>41</v>
      </c>
      <c r="C437" s="128" t="s">
        <v>1882</v>
      </c>
      <c r="D437" s="128" t="s">
        <v>941</v>
      </c>
      <c r="E437" s="127">
        <v>796</v>
      </c>
      <c r="F437" s="127">
        <v>97110456</v>
      </c>
      <c r="G437" s="127" t="s">
        <v>1643</v>
      </c>
      <c r="H437" s="187"/>
      <c r="I437" s="187"/>
      <c r="P437" t="str">
        <f t="shared" si="50"/>
        <v>PROVINS41</v>
      </c>
      <c r="Q437" t="str">
        <f t="shared" si="45"/>
        <v>LEBOEUF</v>
      </c>
      <c r="R437" t="str">
        <f t="shared" si="46"/>
        <v>Noah</v>
      </c>
      <c r="S437">
        <f t="shared" si="47"/>
        <v>796</v>
      </c>
      <c r="T437">
        <f t="shared" si="48"/>
        <v>97110456</v>
      </c>
      <c r="U437" t="s">
        <v>1981</v>
      </c>
    </row>
    <row r="438" spans="1:21" hidden="1" x14ac:dyDescent="0.2">
      <c r="A438" s="186" t="s">
        <v>136</v>
      </c>
      <c r="B438" s="128">
        <f t="shared" si="49"/>
        <v>42</v>
      </c>
      <c r="C438" s="128" t="s">
        <v>85</v>
      </c>
      <c r="D438" s="128" t="s">
        <v>281</v>
      </c>
      <c r="E438" s="127">
        <v>775</v>
      </c>
      <c r="F438" s="127">
        <v>55338728</v>
      </c>
      <c r="G438" s="127" t="s">
        <v>1643</v>
      </c>
      <c r="H438" s="187"/>
      <c r="I438" s="187"/>
      <c r="P438" t="str">
        <f t="shared" si="50"/>
        <v>PROVINS42</v>
      </c>
      <c r="Q438" t="str">
        <f t="shared" si="45"/>
        <v>LECLERC</v>
      </c>
      <c r="R438" t="str">
        <f t="shared" si="46"/>
        <v>Nathalie</v>
      </c>
      <c r="S438">
        <f t="shared" si="47"/>
        <v>775</v>
      </c>
      <c r="T438">
        <f t="shared" si="48"/>
        <v>55338728</v>
      </c>
      <c r="U438" t="s">
        <v>216</v>
      </c>
    </row>
    <row r="439" spans="1:21" hidden="1" x14ac:dyDescent="0.2">
      <c r="A439" s="186" t="s">
        <v>136</v>
      </c>
      <c r="B439" s="128">
        <f t="shared" si="49"/>
        <v>43</v>
      </c>
      <c r="C439" s="128" t="s">
        <v>90</v>
      </c>
      <c r="D439" s="128" t="s">
        <v>311</v>
      </c>
      <c r="E439" s="127">
        <v>889</v>
      </c>
      <c r="F439" s="127">
        <v>87425027</v>
      </c>
      <c r="G439" s="127" t="s">
        <v>1643</v>
      </c>
      <c r="H439" s="187"/>
      <c r="I439" s="187"/>
      <c r="P439" t="str">
        <f t="shared" si="50"/>
        <v>PROVINS43</v>
      </c>
      <c r="Q439" t="str">
        <f t="shared" si="45"/>
        <v>LEGRAS</v>
      </c>
      <c r="R439" t="str">
        <f t="shared" si="46"/>
        <v>Jeremy</v>
      </c>
      <c r="S439">
        <f t="shared" si="47"/>
        <v>889</v>
      </c>
      <c r="T439">
        <f t="shared" si="48"/>
        <v>87425027</v>
      </c>
      <c r="U439" t="s">
        <v>217</v>
      </c>
    </row>
    <row r="440" spans="1:21" hidden="1" x14ac:dyDescent="0.2">
      <c r="A440" s="186" t="s">
        <v>136</v>
      </c>
      <c r="B440" s="128">
        <f t="shared" si="49"/>
        <v>44</v>
      </c>
      <c r="C440" s="128" t="s">
        <v>71</v>
      </c>
      <c r="D440" s="128" t="s">
        <v>352</v>
      </c>
      <c r="E440" s="127">
        <v>979</v>
      </c>
      <c r="F440" s="127">
        <v>87446335</v>
      </c>
      <c r="G440" s="127" t="s">
        <v>1856</v>
      </c>
      <c r="H440" s="187"/>
      <c r="I440" s="187"/>
      <c r="P440" t="str">
        <f t="shared" si="50"/>
        <v>PROVINS44</v>
      </c>
      <c r="Q440" t="str">
        <f t="shared" si="45"/>
        <v>LENOIR</v>
      </c>
      <c r="R440" t="str">
        <f t="shared" si="46"/>
        <v>Jade</v>
      </c>
      <c r="S440">
        <f t="shared" si="47"/>
        <v>979</v>
      </c>
      <c r="T440">
        <f t="shared" si="48"/>
        <v>87446335</v>
      </c>
      <c r="U440" t="s">
        <v>218</v>
      </c>
    </row>
    <row r="441" spans="1:21" hidden="1" x14ac:dyDescent="0.2">
      <c r="A441" s="186" t="s">
        <v>136</v>
      </c>
      <c r="B441" s="128">
        <f t="shared" si="49"/>
        <v>45</v>
      </c>
      <c r="C441" s="128" t="s">
        <v>71</v>
      </c>
      <c r="D441" s="128" t="s">
        <v>295</v>
      </c>
      <c r="E441" s="127">
        <v>624</v>
      </c>
      <c r="F441" s="127">
        <v>87446726</v>
      </c>
      <c r="G441" s="127" t="s">
        <v>1856</v>
      </c>
      <c r="H441" s="187"/>
      <c r="I441" s="187"/>
      <c r="P441" t="str">
        <f t="shared" si="50"/>
        <v>PROVINS45</v>
      </c>
      <c r="Q441" t="str">
        <f t="shared" si="45"/>
        <v>LENOIR</v>
      </c>
      <c r="R441" t="str">
        <f t="shared" si="46"/>
        <v>Pascal</v>
      </c>
      <c r="S441">
        <f t="shared" si="47"/>
        <v>624</v>
      </c>
      <c r="T441">
        <f t="shared" si="48"/>
        <v>87446726</v>
      </c>
      <c r="U441" t="s">
        <v>573</v>
      </c>
    </row>
    <row r="442" spans="1:21" hidden="1" x14ac:dyDescent="0.2">
      <c r="A442" s="186" t="s">
        <v>136</v>
      </c>
      <c r="B442" s="128">
        <f t="shared" si="49"/>
        <v>46</v>
      </c>
      <c r="C442" s="128" t="s">
        <v>1241</v>
      </c>
      <c r="D442" s="128" t="s">
        <v>1300</v>
      </c>
      <c r="E442" s="127">
        <v>500</v>
      </c>
      <c r="F442" s="127">
        <v>97104000</v>
      </c>
      <c r="G442" s="127" t="s">
        <v>1856</v>
      </c>
      <c r="H442" s="187"/>
      <c r="I442" s="187"/>
      <c r="P442" t="str">
        <f t="shared" si="50"/>
        <v>PROVINS46</v>
      </c>
      <c r="Q442" t="str">
        <f t="shared" si="45"/>
        <v>LOISELET</v>
      </c>
      <c r="R442" t="str">
        <f t="shared" si="46"/>
        <v>Hugo</v>
      </c>
      <c r="S442">
        <f t="shared" si="47"/>
        <v>500</v>
      </c>
      <c r="T442">
        <f t="shared" si="48"/>
        <v>97104000</v>
      </c>
      <c r="U442" t="s">
        <v>1471</v>
      </c>
    </row>
    <row r="443" spans="1:21" hidden="1" x14ac:dyDescent="0.2">
      <c r="A443" s="186" t="s">
        <v>136</v>
      </c>
      <c r="B443" s="128">
        <f t="shared" si="49"/>
        <v>47</v>
      </c>
      <c r="C443" s="128" t="s">
        <v>1243</v>
      </c>
      <c r="D443" s="128" t="s">
        <v>1333</v>
      </c>
      <c r="E443" s="127">
        <v>500</v>
      </c>
      <c r="F443" s="127">
        <v>87465351</v>
      </c>
      <c r="G443" s="127" t="s">
        <v>1856</v>
      </c>
      <c r="H443" s="187"/>
      <c r="I443" s="187"/>
      <c r="P443" t="str">
        <f t="shared" si="50"/>
        <v>PROVINS47</v>
      </c>
      <c r="Q443" t="str">
        <f t="shared" si="45"/>
        <v>MAKHLOUF</v>
      </c>
      <c r="R443" t="str">
        <f t="shared" si="46"/>
        <v>Amine</v>
      </c>
      <c r="S443">
        <f t="shared" si="47"/>
        <v>500</v>
      </c>
      <c r="T443">
        <f t="shared" si="48"/>
        <v>87465351</v>
      </c>
      <c r="U443" t="s">
        <v>1473</v>
      </c>
    </row>
    <row r="444" spans="1:21" hidden="1" x14ac:dyDescent="0.2">
      <c r="A444" s="186" t="s">
        <v>136</v>
      </c>
      <c r="B444" s="128">
        <f t="shared" si="49"/>
        <v>48</v>
      </c>
      <c r="C444" s="128" t="s">
        <v>1232</v>
      </c>
      <c r="D444" s="128" t="s">
        <v>1330</v>
      </c>
      <c r="E444" s="127">
        <v>500</v>
      </c>
      <c r="F444" s="127">
        <v>87443947</v>
      </c>
      <c r="G444" s="127" t="s">
        <v>1643</v>
      </c>
      <c r="H444" s="187"/>
      <c r="I444" s="187"/>
      <c r="P444" t="str">
        <f t="shared" si="50"/>
        <v>PROVINS48</v>
      </c>
      <c r="Q444" t="str">
        <f t="shared" si="45"/>
        <v>MARESTAING</v>
      </c>
      <c r="R444" t="str">
        <f t="shared" si="46"/>
        <v>Constance</v>
      </c>
      <c r="S444">
        <f t="shared" si="47"/>
        <v>500</v>
      </c>
      <c r="T444">
        <f t="shared" si="48"/>
        <v>87443947</v>
      </c>
      <c r="U444" t="s">
        <v>1463</v>
      </c>
    </row>
    <row r="445" spans="1:21" hidden="1" x14ac:dyDescent="0.2">
      <c r="A445" s="186" t="s">
        <v>136</v>
      </c>
      <c r="B445" s="128">
        <f t="shared" si="49"/>
        <v>49</v>
      </c>
      <c r="C445" s="128" t="s">
        <v>1232</v>
      </c>
      <c r="D445" s="128" t="s">
        <v>1327</v>
      </c>
      <c r="E445" s="127">
        <v>500</v>
      </c>
      <c r="F445" s="127">
        <v>87458739</v>
      </c>
      <c r="G445" s="127" t="s">
        <v>1643</v>
      </c>
      <c r="H445" s="187"/>
      <c r="I445" s="187"/>
      <c r="P445" t="str">
        <f t="shared" si="50"/>
        <v>PROVINS49</v>
      </c>
      <c r="Q445" t="str">
        <f t="shared" si="45"/>
        <v>MARESTAING</v>
      </c>
      <c r="R445" t="str">
        <f t="shared" si="46"/>
        <v>Maxens</v>
      </c>
      <c r="S445">
        <f t="shared" si="47"/>
        <v>500</v>
      </c>
      <c r="T445">
        <f t="shared" si="48"/>
        <v>87458739</v>
      </c>
      <c r="U445" t="s">
        <v>1461</v>
      </c>
    </row>
    <row r="446" spans="1:21" hidden="1" x14ac:dyDescent="0.2">
      <c r="A446" s="186" t="s">
        <v>136</v>
      </c>
      <c r="B446" s="128">
        <f t="shared" si="49"/>
        <v>50</v>
      </c>
      <c r="C446" s="128" t="s">
        <v>1880</v>
      </c>
      <c r="D446" s="128" t="s">
        <v>1881</v>
      </c>
      <c r="E446" s="127">
        <v>500</v>
      </c>
      <c r="F446" s="127">
        <v>97110457</v>
      </c>
      <c r="G446" s="127" t="s">
        <v>1643</v>
      </c>
      <c r="H446" s="187"/>
      <c r="I446" s="187"/>
      <c r="P446" t="str">
        <f t="shared" si="50"/>
        <v>PROVINS50</v>
      </c>
      <c r="Q446" t="str">
        <f t="shared" si="45"/>
        <v>MARTHOU</v>
      </c>
      <c r="R446" t="str">
        <f t="shared" si="46"/>
        <v>Clément</v>
      </c>
      <c r="S446">
        <f t="shared" si="47"/>
        <v>500</v>
      </c>
      <c r="T446">
        <f t="shared" si="48"/>
        <v>97110457</v>
      </c>
      <c r="U446" t="s">
        <v>1983</v>
      </c>
    </row>
    <row r="447" spans="1:21" hidden="1" x14ac:dyDescent="0.2">
      <c r="A447" s="186" t="s">
        <v>136</v>
      </c>
      <c r="B447" s="128">
        <f t="shared" si="49"/>
        <v>51</v>
      </c>
      <c r="C447" s="128" t="s">
        <v>1224</v>
      </c>
      <c r="D447" s="128" t="s">
        <v>278</v>
      </c>
      <c r="E447" s="127">
        <v>583</v>
      </c>
      <c r="F447" s="127">
        <v>97103321</v>
      </c>
      <c r="G447" s="127" t="s">
        <v>1643</v>
      </c>
      <c r="H447" s="187"/>
      <c r="I447" s="187"/>
      <c r="P447" t="str">
        <f t="shared" si="50"/>
        <v>PROVINS51</v>
      </c>
      <c r="Q447" t="str">
        <f t="shared" si="45"/>
        <v>MARTINEZ</v>
      </c>
      <c r="R447" t="str">
        <f t="shared" si="46"/>
        <v>Stephane</v>
      </c>
      <c r="S447">
        <f t="shared" si="47"/>
        <v>583</v>
      </c>
      <c r="T447">
        <f t="shared" si="48"/>
        <v>97103321</v>
      </c>
      <c r="U447" t="s">
        <v>1465</v>
      </c>
    </row>
    <row r="448" spans="1:21" hidden="1" x14ac:dyDescent="0.2">
      <c r="A448" s="186" t="s">
        <v>136</v>
      </c>
      <c r="B448" s="128">
        <f t="shared" si="49"/>
        <v>52</v>
      </c>
      <c r="C448" s="128" t="s">
        <v>932</v>
      </c>
      <c r="D448" s="128" t="s">
        <v>337</v>
      </c>
      <c r="E448" s="127">
        <v>500</v>
      </c>
      <c r="F448" s="127">
        <v>97095261</v>
      </c>
      <c r="G448" s="127" t="s">
        <v>1856</v>
      </c>
      <c r="H448" s="187"/>
      <c r="I448" s="187"/>
      <c r="P448" t="str">
        <f t="shared" si="50"/>
        <v>PROVINS52</v>
      </c>
      <c r="Q448" t="str">
        <f t="shared" si="45"/>
        <v>MAUJEAN</v>
      </c>
      <c r="R448" t="str">
        <f t="shared" si="46"/>
        <v>Maxime</v>
      </c>
      <c r="S448">
        <f t="shared" si="47"/>
        <v>500</v>
      </c>
      <c r="T448">
        <f t="shared" si="48"/>
        <v>97095261</v>
      </c>
      <c r="U448" t="s">
        <v>962</v>
      </c>
    </row>
    <row r="449" spans="1:21" hidden="1" x14ac:dyDescent="0.2">
      <c r="A449" s="186" t="s">
        <v>136</v>
      </c>
      <c r="B449" s="128">
        <f t="shared" si="49"/>
        <v>53</v>
      </c>
      <c r="C449" s="128" t="s">
        <v>940</v>
      </c>
      <c r="D449" s="128" t="s">
        <v>284</v>
      </c>
      <c r="E449" s="127">
        <v>1277</v>
      </c>
      <c r="F449" s="127">
        <v>97103322</v>
      </c>
      <c r="G449" s="127" t="s">
        <v>1856</v>
      </c>
      <c r="H449" s="187"/>
      <c r="I449" s="187"/>
      <c r="P449" t="str">
        <f t="shared" si="50"/>
        <v>PROVINS53</v>
      </c>
      <c r="Q449" t="str">
        <f t="shared" si="45"/>
        <v>PETIT</v>
      </c>
      <c r="R449" t="str">
        <f t="shared" si="46"/>
        <v>Vincent</v>
      </c>
      <c r="S449">
        <f t="shared" si="47"/>
        <v>1277</v>
      </c>
      <c r="T449">
        <f t="shared" si="48"/>
        <v>97103322</v>
      </c>
      <c r="U449" t="s">
        <v>1476</v>
      </c>
    </row>
    <row r="450" spans="1:21" hidden="1" x14ac:dyDescent="0.2">
      <c r="A450" s="186" t="s">
        <v>136</v>
      </c>
      <c r="B450" s="128">
        <f t="shared" si="49"/>
        <v>54</v>
      </c>
      <c r="C450" s="128" t="s">
        <v>1245</v>
      </c>
      <c r="D450" s="128" t="s">
        <v>322</v>
      </c>
      <c r="E450" s="127">
        <v>500</v>
      </c>
      <c r="F450" s="127">
        <v>97103034</v>
      </c>
      <c r="G450" s="127" t="s">
        <v>1856</v>
      </c>
      <c r="H450" s="187"/>
      <c r="I450" s="187"/>
      <c r="P450" t="str">
        <f t="shared" si="50"/>
        <v>PROVINS54</v>
      </c>
      <c r="Q450" t="str">
        <f t="shared" si="45"/>
        <v>PICHOT</v>
      </c>
      <c r="R450" t="str">
        <f t="shared" si="46"/>
        <v>Nathan</v>
      </c>
      <c r="S450">
        <f t="shared" si="47"/>
        <v>500</v>
      </c>
      <c r="T450">
        <f t="shared" si="48"/>
        <v>97103034</v>
      </c>
      <c r="U450" t="s">
        <v>1475</v>
      </c>
    </row>
    <row r="451" spans="1:21" hidden="1" x14ac:dyDescent="0.2">
      <c r="A451" s="186" t="s">
        <v>136</v>
      </c>
      <c r="B451" s="128">
        <f t="shared" si="49"/>
        <v>55</v>
      </c>
      <c r="C451" s="128" t="s">
        <v>1240</v>
      </c>
      <c r="D451" s="128" t="s">
        <v>871</v>
      </c>
      <c r="E451" s="127">
        <v>500</v>
      </c>
      <c r="F451" s="127">
        <v>97104001</v>
      </c>
      <c r="G451" s="127" t="s">
        <v>1856</v>
      </c>
      <c r="H451" s="187"/>
      <c r="I451" s="187"/>
      <c r="P451" t="str">
        <f t="shared" si="50"/>
        <v>PROVINS55</v>
      </c>
      <c r="Q451" t="str">
        <f t="shared" si="45"/>
        <v>RAFIK</v>
      </c>
      <c r="R451" t="str">
        <f t="shared" si="46"/>
        <v>Ali</v>
      </c>
      <c r="S451">
        <f t="shared" si="47"/>
        <v>500</v>
      </c>
      <c r="T451">
        <f t="shared" si="48"/>
        <v>97104001</v>
      </c>
      <c r="U451" t="s">
        <v>1470</v>
      </c>
    </row>
    <row r="452" spans="1:21" hidden="1" x14ac:dyDescent="0.2">
      <c r="A452" s="186" t="s">
        <v>136</v>
      </c>
      <c r="B452" s="128">
        <f t="shared" si="49"/>
        <v>56</v>
      </c>
      <c r="C452" s="128" t="s">
        <v>1634</v>
      </c>
      <c r="D452" s="128" t="s">
        <v>575</v>
      </c>
      <c r="E452" s="127">
        <v>500</v>
      </c>
      <c r="F452" s="127">
        <v>87446697</v>
      </c>
      <c r="G452" s="127" t="s">
        <v>1643</v>
      </c>
      <c r="H452" s="187"/>
      <c r="I452" s="187"/>
      <c r="P452" t="str">
        <f t="shared" si="50"/>
        <v>PROVINS56</v>
      </c>
      <c r="Q452" t="str">
        <f t="shared" si="45"/>
        <v>REGUIG</v>
      </c>
      <c r="R452" t="str">
        <f t="shared" si="46"/>
        <v>Louis</v>
      </c>
      <c r="S452">
        <f t="shared" si="47"/>
        <v>500</v>
      </c>
      <c r="T452">
        <f t="shared" si="48"/>
        <v>87446697</v>
      </c>
      <c r="U452" t="s">
        <v>1657</v>
      </c>
    </row>
    <row r="453" spans="1:21" hidden="1" x14ac:dyDescent="0.2">
      <c r="A453" s="186" t="s">
        <v>136</v>
      </c>
      <c r="B453" s="128">
        <f t="shared" si="49"/>
        <v>57</v>
      </c>
      <c r="C453" s="128" t="s">
        <v>1244</v>
      </c>
      <c r="D453" s="128" t="s">
        <v>584</v>
      </c>
      <c r="E453" s="127">
        <v>500</v>
      </c>
      <c r="F453" s="127">
        <v>97105412</v>
      </c>
      <c r="G453" s="127" t="s">
        <v>1856</v>
      </c>
      <c r="H453" s="187"/>
      <c r="I453" s="187"/>
      <c r="P453" t="str">
        <f t="shared" si="50"/>
        <v>PROVINS57</v>
      </c>
      <c r="Q453" t="str">
        <f t="shared" si="45"/>
        <v>RENAT</v>
      </c>
      <c r="R453" t="str">
        <f t="shared" si="46"/>
        <v>Jules</v>
      </c>
      <c r="S453">
        <f t="shared" si="47"/>
        <v>500</v>
      </c>
      <c r="T453">
        <f t="shared" si="48"/>
        <v>97105412</v>
      </c>
      <c r="U453" t="s">
        <v>1474</v>
      </c>
    </row>
    <row r="454" spans="1:21" hidden="1" x14ac:dyDescent="0.2">
      <c r="A454" s="186" t="s">
        <v>136</v>
      </c>
      <c r="B454" s="128">
        <f t="shared" si="49"/>
        <v>58</v>
      </c>
      <c r="C454" s="128" t="s">
        <v>1242</v>
      </c>
      <c r="D454" s="128" t="s">
        <v>314</v>
      </c>
      <c r="E454" s="127">
        <v>574</v>
      </c>
      <c r="F454" s="127">
        <v>97104002</v>
      </c>
      <c r="G454" s="127" t="s">
        <v>1643</v>
      </c>
      <c r="H454" s="187"/>
      <c r="I454" s="187"/>
      <c r="P454" t="str">
        <f t="shared" si="50"/>
        <v>PROVINS58</v>
      </c>
      <c r="Q454" t="str">
        <f t="shared" si="45"/>
        <v>SEGUIN</v>
      </c>
      <c r="R454" t="str">
        <f t="shared" si="46"/>
        <v>Julien</v>
      </c>
      <c r="S454">
        <f t="shared" si="47"/>
        <v>574</v>
      </c>
      <c r="T454">
        <f t="shared" si="48"/>
        <v>97104002</v>
      </c>
      <c r="U454" t="s">
        <v>1472</v>
      </c>
    </row>
    <row r="455" spans="1:21" hidden="1" x14ac:dyDescent="0.2">
      <c r="A455" s="186" t="s">
        <v>136</v>
      </c>
      <c r="B455" s="128">
        <f t="shared" si="49"/>
        <v>59</v>
      </c>
      <c r="C455" s="128" t="s">
        <v>1242</v>
      </c>
      <c r="D455" s="128" t="s">
        <v>1890</v>
      </c>
      <c r="E455" s="127">
        <v>500</v>
      </c>
      <c r="F455" s="127">
        <v>97110458</v>
      </c>
      <c r="G455" s="127" t="s">
        <v>1643</v>
      </c>
      <c r="H455" s="187"/>
      <c r="I455" s="187"/>
      <c r="P455" t="str">
        <f t="shared" si="50"/>
        <v>PROVINS59</v>
      </c>
      <c r="Q455" t="str">
        <f t="shared" si="45"/>
        <v>SEGUIN</v>
      </c>
      <c r="R455" t="str">
        <f t="shared" si="46"/>
        <v>Loevan</v>
      </c>
      <c r="S455">
        <f t="shared" si="47"/>
        <v>500</v>
      </c>
      <c r="T455">
        <f t="shared" si="48"/>
        <v>97110458</v>
      </c>
      <c r="U455" t="s">
        <v>1984</v>
      </c>
    </row>
    <row r="456" spans="1:21" hidden="1" x14ac:dyDescent="0.2">
      <c r="A456" s="186" t="s">
        <v>136</v>
      </c>
      <c r="B456" s="128">
        <f t="shared" si="49"/>
        <v>60</v>
      </c>
      <c r="C456" s="128" t="s">
        <v>1529</v>
      </c>
      <c r="D456" s="128" t="s">
        <v>1550</v>
      </c>
      <c r="E456" s="127">
        <v>1169</v>
      </c>
      <c r="F456" s="127">
        <v>87465360</v>
      </c>
      <c r="G456" s="127" t="s">
        <v>1856</v>
      </c>
      <c r="H456" s="187"/>
      <c r="I456" s="187"/>
      <c r="P456" t="str">
        <f t="shared" si="50"/>
        <v>PROVINS60</v>
      </c>
      <c r="Q456" t="str">
        <f t="shared" ref="Q456:Q520" si="51">C456</f>
        <v>SOUDAN-RAVAUD</v>
      </c>
      <c r="R456" t="str">
        <f t="shared" ref="R456:R520" si="52">D456</f>
        <v>Mael</v>
      </c>
      <c r="S456">
        <f t="shared" ref="S456:S520" si="53">E456</f>
        <v>1169</v>
      </c>
      <c r="T456">
        <f t="shared" ref="T456:T520" si="54">F456</f>
        <v>87465360</v>
      </c>
      <c r="U456" t="s">
        <v>1573</v>
      </c>
    </row>
    <row r="457" spans="1:21" hidden="1" x14ac:dyDescent="0.2">
      <c r="A457" s="186" t="s">
        <v>136</v>
      </c>
      <c r="B457" s="128">
        <f t="shared" si="49"/>
        <v>61</v>
      </c>
      <c r="C457" s="128" t="s">
        <v>1528</v>
      </c>
      <c r="D457" s="128" t="s">
        <v>1549</v>
      </c>
      <c r="E457" s="127">
        <v>500</v>
      </c>
      <c r="F457" s="127">
        <v>97107986</v>
      </c>
      <c r="G457" s="127" t="s">
        <v>1643</v>
      </c>
      <c r="H457" s="187"/>
      <c r="I457" s="187"/>
      <c r="P457" t="str">
        <f t="shared" si="50"/>
        <v>PROVINS61</v>
      </c>
      <c r="Q457" t="str">
        <f t="shared" si="51"/>
        <v>SOUVERIN</v>
      </c>
      <c r="R457" t="str">
        <f t="shared" si="52"/>
        <v>Vanessa</v>
      </c>
      <c r="S457">
        <f t="shared" si="53"/>
        <v>500</v>
      </c>
      <c r="T457">
        <f t="shared" si="54"/>
        <v>97107986</v>
      </c>
      <c r="U457" t="s">
        <v>1572</v>
      </c>
    </row>
    <row r="458" spans="1:21" hidden="1" x14ac:dyDescent="0.2">
      <c r="A458" s="186" t="s">
        <v>136</v>
      </c>
      <c r="B458" s="128">
        <f t="shared" si="49"/>
        <v>62</v>
      </c>
      <c r="C458" s="128" t="s">
        <v>1238</v>
      </c>
      <c r="D458" s="128" t="s">
        <v>815</v>
      </c>
      <c r="E458" s="127">
        <v>500</v>
      </c>
      <c r="F458" s="127">
        <v>97102485</v>
      </c>
      <c r="G458" s="127" t="s">
        <v>1643</v>
      </c>
      <c r="H458" s="187"/>
      <c r="I458" s="187"/>
      <c r="P458" t="str">
        <f t="shared" si="50"/>
        <v>PROVINS62</v>
      </c>
      <c r="Q458" t="str">
        <f t="shared" si="51"/>
        <v>TAUPIN CARTIGNIES</v>
      </c>
      <c r="R458" t="str">
        <f t="shared" si="52"/>
        <v>Mathys</v>
      </c>
      <c r="S458">
        <f t="shared" si="53"/>
        <v>500</v>
      </c>
      <c r="T458">
        <f t="shared" si="54"/>
        <v>97102485</v>
      </c>
      <c r="U458" t="s">
        <v>1468</v>
      </c>
    </row>
    <row r="459" spans="1:21" hidden="1" x14ac:dyDescent="0.2">
      <c r="A459" s="186" t="s">
        <v>136</v>
      </c>
      <c r="B459" s="128">
        <f t="shared" si="49"/>
        <v>63</v>
      </c>
      <c r="C459" s="128" t="s">
        <v>89</v>
      </c>
      <c r="D459" s="128" t="s">
        <v>341</v>
      </c>
      <c r="E459" s="127">
        <v>892</v>
      </c>
      <c r="F459" s="127">
        <v>55360512</v>
      </c>
      <c r="G459" s="127" t="s">
        <v>1643</v>
      </c>
      <c r="H459" s="187"/>
      <c r="I459" s="187"/>
      <c r="P459" t="str">
        <f t="shared" si="50"/>
        <v>PROVINS63</v>
      </c>
      <c r="Q459" t="str">
        <f t="shared" si="51"/>
        <v>TRANVAN</v>
      </c>
      <c r="R459" t="str">
        <f t="shared" si="52"/>
        <v>Isabelle</v>
      </c>
      <c r="S459">
        <f t="shared" si="53"/>
        <v>892</v>
      </c>
      <c r="T459">
        <f t="shared" si="54"/>
        <v>55360512</v>
      </c>
      <c r="U459" t="s">
        <v>219</v>
      </c>
    </row>
    <row r="460" spans="1:21" hidden="1" x14ac:dyDescent="0.2">
      <c r="A460" s="186" t="s">
        <v>136</v>
      </c>
      <c r="B460" s="128">
        <f t="shared" si="49"/>
        <v>64</v>
      </c>
      <c r="C460" s="128" t="s">
        <v>1887</v>
      </c>
      <c r="D460" s="128" t="s">
        <v>1888</v>
      </c>
      <c r="E460" s="127">
        <v>500</v>
      </c>
      <c r="F460" s="127">
        <v>97064421</v>
      </c>
      <c r="G460" s="127" t="s">
        <v>1643</v>
      </c>
      <c r="H460" s="187"/>
      <c r="I460" s="187"/>
      <c r="P460" t="str">
        <f t="shared" si="50"/>
        <v>PROVINS64</v>
      </c>
      <c r="Q460" t="str">
        <f t="shared" si="51"/>
        <v>VERCRUYSSE</v>
      </c>
      <c r="R460" t="str">
        <f t="shared" si="52"/>
        <v>Duncan</v>
      </c>
      <c r="S460">
        <f t="shared" si="53"/>
        <v>500</v>
      </c>
      <c r="T460">
        <f t="shared" si="54"/>
        <v>97064421</v>
      </c>
      <c r="U460" t="s">
        <v>1985</v>
      </c>
    </row>
    <row r="461" spans="1:21" hidden="1" x14ac:dyDescent="0.2">
      <c r="A461" s="186" t="s">
        <v>136</v>
      </c>
      <c r="B461" s="128">
        <f t="shared" si="49"/>
        <v>65</v>
      </c>
      <c r="C461" s="128" t="s">
        <v>1233</v>
      </c>
      <c r="D461" s="128" t="s">
        <v>1329</v>
      </c>
      <c r="E461" s="127">
        <v>823</v>
      </c>
      <c r="F461" s="127">
        <v>87420671</v>
      </c>
      <c r="G461" s="127" t="s">
        <v>1643</v>
      </c>
      <c r="H461" s="187"/>
      <c r="I461" s="187"/>
      <c r="P461" t="str">
        <f t="shared" si="50"/>
        <v>PROVINS65</v>
      </c>
      <c r="Q461" t="str">
        <f t="shared" si="51"/>
        <v>VERMET</v>
      </c>
      <c r="R461" t="str">
        <f t="shared" si="52"/>
        <v>Yoan</v>
      </c>
      <c r="S461">
        <f t="shared" si="53"/>
        <v>823</v>
      </c>
      <c r="T461">
        <f t="shared" si="54"/>
        <v>87420671</v>
      </c>
      <c r="U461" t="s">
        <v>1462</v>
      </c>
    </row>
    <row r="462" spans="1:21" hidden="1" x14ac:dyDescent="0.2">
      <c r="A462" s="186" t="s">
        <v>136</v>
      </c>
      <c r="B462" s="128">
        <f t="shared" si="49"/>
        <v>66</v>
      </c>
      <c r="C462" s="128" t="s">
        <v>439</v>
      </c>
      <c r="D462" s="128" t="s">
        <v>284</v>
      </c>
      <c r="E462" s="127">
        <v>1261</v>
      </c>
      <c r="F462" s="127">
        <v>55340868</v>
      </c>
      <c r="G462" s="127" t="s">
        <v>1643</v>
      </c>
      <c r="H462" s="187"/>
      <c r="I462" s="187"/>
      <c r="P462" t="str">
        <f t="shared" si="50"/>
        <v>PROVINS66</v>
      </c>
      <c r="Q462" t="str">
        <f t="shared" si="51"/>
        <v>VILLAIN</v>
      </c>
      <c r="R462" t="str">
        <f t="shared" si="52"/>
        <v>Vincent</v>
      </c>
      <c r="S462">
        <f t="shared" si="53"/>
        <v>1261</v>
      </c>
      <c r="T462">
        <f t="shared" si="54"/>
        <v>55340868</v>
      </c>
      <c r="U462" t="s">
        <v>539</v>
      </c>
    </row>
    <row r="463" spans="1:21" hidden="1" x14ac:dyDescent="0.2">
      <c r="A463" s="186" t="s">
        <v>650</v>
      </c>
      <c r="B463" s="128">
        <f t="shared" si="49"/>
        <v>1</v>
      </c>
      <c r="C463" s="128" t="s">
        <v>1532</v>
      </c>
      <c r="D463" s="128" t="s">
        <v>584</v>
      </c>
      <c r="E463" s="127">
        <v>500</v>
      </c>
      <c r="F463" s="127">
        <v>97106222</v>
      </c>
      <c r="G463" s="127" t="s">
        <v>1856</v>
      </c>
      <c r="H463" s="187"/>
      <c r="I463" s="187"/>
      <c r="P463" t="str">
        <f t="shared" si="50"/>
        <v>QUINCY1</v>
      </c>
      <c r="Q463" t="str">
        <f t="shared" si="51"/>
        <v>BODELET</v>
      </c>
      <c r="R463" t="str">
        <f t="shared" si="52"/>
        <v>Jules</v>
      </c>
      <c r="S463">
        <f t="shared" si="53"/>
        <v>500</v>
      </c>
      <c r="T463">
        <f t="shared" si="54"/>
        <v>97106222</v>
      </c>
      <c r="U463" t="s">
        <v>1575</v>
      </c>
    </row>
    <row r="464" spans="1:21" hidden="1" x14ac:dyDescent="0.2">
      <c r="A464" s="186" t="s">
        <v>650</v>
      </c>
      <c r="B464" s="128">
        <f t="shared" si="49"/>
        <v>2</v>
      </c>
      <c r="C464" s="128" t="s">
        <v>678</v>
      </c>
      <c r="D464" s="128" t="s">
        <v>639</v>
      </c>
      <c r="E464" s="127">
        <v>1576</v>
      </c>
      <c r="F464" s="127">
        <v>97083250</v>
      </c>
      <c r="G464" s="127" t="s">
        <v>1856</v>
      </c>
      <c r="H464" s="187"/>
      <c r="I464" s="187"/>
      <c r="P464" t="str">
        <f t="shared" si="50"/>
        <v>QUINCY2</v>
      </c>
      <c r="Q464" t="str">
        <f t="shared" si="51"/>
        <v>BRAUD</v>
      </c>
      <c r="R464" t="str">
        <f t="shared" si="52"/>
        <v>Sébastien</v>
      </c>
      <c r="S464">
        <f t="shared" si="53"/>
        <v>1576</v>
      </c>
      <c r="T464">
        <f t="shared" si="54"/>
        <v>97083250</v>
      </c>
      <c r="U464" t="s">
        <v>682</v>
      </c>
    </row>
    <row r="465" spans="1:21" hidden="1" x14ac:dyDescent="0.2">
      <c r="A465" s="186" t="s">
        <v>650</v>
      </c>
      <c r="B465" s="128">
        <f t="shared" si="49"/>
        <v>3</v>
      </c>
      <c r="C465" s="128" t="s">
        <v>1533</v>
      </c>
      <c r="D465" s="128" t="s">
        <v>951</v>
      </c>
      <c r="E465" s="127">
        <v>516</v>
      </c>
      <c r="F465" s="127">
        <v>97106223</v>
      </c>
      <c r="G465" s="127" t="s">
        <v>1856</v>
      </c>
      <c r="H465" s="187"/>
      <c r="I465" s="187"/>
      <c r="P465" t="str">
        <f t="shared" si="50"/>
        <v>QUINCY3</v>
      </c>
      <c r="Q465" t="str">
        <f t="shared" si="51"/>
        <v>RICHARD MAXIMINI</v>
      </c>
      <c r="R465" t="str">
        <f t="shared" si="52"/>
        <v>Tom</v>
      </c>
      <c r="S465">
        <f t="shared" si="53"/>
        <v>516</v>
      </c>
      <c r="T465">
        <f t="shared" si="54"/>
        <v>97106223</v>
      </c>
      <c r="U465" t="s">
        <v>1576</v>
      </c>
    </row>
    <row r="466" spans="1:21" hidden="1" x14ac:dyDescent="0.2">
      <c r="A466" s="186" t="s">
        <v>650</v>
      </c>
      <c r="B466" s="128">
        <f t="shared" si="49"/>
        <v>4</v>
      </c>
      <c r="C466" s="128" t="s">
        <v>257</v>
      </c>
      <c r="D466" s="128" t="s">
        <v>324</v>
      </c>
      <c r="E466" s="127">
        <v>764</v>
      </c>
      <c r="F466" s="127">
        <v>55322759</v>
      </c>
      <c r="G466" s="127" t="s">
        <v>1856</v>
      </c>
      <c r="H466" s="187"/>
      <c r="I466" s="187"/>
      <c r="P466" t="str">
        <f t="shared" si="50"/>
        <v>QUINCY4</v>
      </c>
      <c r="Q466" t="str">
        <f t="shared" si="51"/>
        <v>UDOVC</v>
      </c>
      <c r="R466" t="str">
        <f t="shared" si="52"/>
        <v>Sabine</v>
      </c>
      <c r="S466">
        <f t="shared" si="53"/>
        <v>764</v>
      </c>
      <c r="T466">
        <f t="shared" si="54"/>
        <v>55322759</v>
      </c>
      <c r="U466" t="s">
        <v>258</v>
      </c>
    </row>
    <row r="467" spans="1:21" hidden="1" x14ac:dyDescent="0.2">
      <c r="A467" s="186" t="s">
        <v>650</v>
      </c>
      <c r="B467" s="128">
        <f t="shared" si="49"/>
        <v>5</v>
      </c>
      <c r="C467" s="128" t="s">
        <v>257</v>
      </c>
      <c r="D467" s="128" t="s">
        <v>325</v>
      </c>
      <c r="E467" s="127">
        <v>823</v>
      </c>
      <c r="F467" s="127">
        <v>87414351</v>
      </c>
      <c r="G467" s="127" t="s">
        <v>1856</v>
      </c>
      <c r="H467" s="187"/>
      <c r="I467" s="187"/>
      <c r="P467" t="str">
        <f t="shared" si="50"/>
        <v>QUINCY5</v>
      </c>
      <c r="Q467" t="str">
        <f t="shared" si="51"/>
        <v>UDOVC</v>
      </c>
      <c r="R467" t="str">
        <f t="shared" si="52"/>
        <v>Samantha</v>
      </c>
      <c r="S467">
        <f t="shared" si="53"/>
        <v>823</v>
      </c>
      <c r="T467">
        <f t="shared" si="54"/>
        <v>87414351</v>
      </c>
      <c r="U467" t="s">
        <v>259</v>
      </c>
    </row>
    <row r="468" spans="1:21" hidden="1" x14ac:dyDescent="0.2">
      <c r="A468" s="186" t="s">
        <v>148</v>
      </c>
      <c r="B468" s="128">
        <f t="shared" si="49"/>
        <v>1</v>
      </c>
      <c r="C468" s="128" t="s">
        <v>1534</v>
      </c>
      <c r="D468" s="128" t="s">
        <v>1552</v>
      </c>
      <c r="E468" s="127">
        <v>500</v>
      </c>
      <c r="F468" s="127">
        <v>97107290</v>
      </c>
      <c r="G468" s="127" t="s">
        <v>1856</v>
      </c>
      <c r="H468" s="187"/>
      <c r="I468" s="187"/>
      <c r="P468" t="str">
        <f t="shared" si="50"/>
        <v>ROZAY1</v>
      </c>
      <c r="Q468" t="str">
        <f t="shared" si="51"/>
        <v>BASTIDE</v>
      </c>
      <c r="R468" t="str">
        <f t="shared" si="52"/>
        <v>Janek</v>
      </c>
      <c r="S468">
        <f t="shared" si="53"/>
        <v>500</v>
      </c>
      <c r="T468">
        <f t="shared" si="54"/>
        <v>97107290</v>
      </c>
      <c r="U468" t="s">
        <v>1577</v>
      </c>
    </row>
    <row r="469" spans="1:21" hidden="1" x14ac:dyDescent="0.2">
      <c r="A469" s="186" t="s">
        <v>148</v>
      </c>
      <c r="B469" s="128">
        <f t="shared" si="49"/>
        <v>2</v>
      </c>
      <c r="C469" s="128" t="s">
        <v>1632</v>
      </c>
      <c r="D469" s="128" t="s">
        <v>1641</v>
      </c>
      <c r="E469" s="127">
        <v>500</v>
      </c>
      <c r="F469" s="127">
        <v>97109055</v>
      </c>
      <c r="G469" s="127" t="s">
        <v>1856</v>
      </c>
      <c r="H469" s="187"/>
      <c r="I469" s="187"/>
      <c r="P469" t="str">
        <f t="shared" si="50"/>
        <v>ROZAY2</v>
      </c>
      <c r="Q469" t="str">
        <f t="shared" si="51"/>
        <v>DOS SANTOS</v>
      </c>
      <c r="R469" t="str">
        <f t="shared" si="52"/>
        <v>Andy</v>
      </c>
      <c r="S469">
        <f t="shared" si="53"/>
        <v>500</v>
      </c>
      <c r="T469">
        <f t="shared" si="54"/>
        <v>97109055</v>
      </c>
      <c r="U469" t="s">
        <v>1655</v>
      </c>
    </row>
    <row r="470" spans="1:21" hidden="1" x14ac:dyDescent="0.2">
      <c r="A470" s="186" t="s">
        <v>148</v>
      </c>
      <c r="B470" s="128">
        <f t="shared" si="49"/>
        <v>3</v>
      </c>
      <c r="C470" s="128" t="s">
        <v>94</v>
      </c>
      <c r="D470" s="128" t="s">
        <v>354</v>
      </c>
      <c r="E470" s="127">
        <v>1054</v>
      </c>
      <c r="F470" s="127">
        <v>55333986</v>
      </c>
      <c r="G470" s="127" t="s">
        <v>1643</v>
      </c>
      <c r="H470" s="187"/>
      <c r="I470" s="187"/>
      <c r="P470" t="str">
        <f t="shared" si="50"/>
        <v>ROZAY3</v>
      </c>
      <c r="Q470" t="str">
        <f t="shared" si="51"/>
        <v>HARTMANN</v>
      </c>
      <c r="R470" t="str">
        <f t="shared" si="52"/>
        <v>Marie Christine</v>
      </c>
      <c r="S470">
        <f t="shared" si="53"/>
        <v>1054</v>
      </c>
      <c r="T470">
        <f t="shared" si="54"/>
        <v>55333986</v>
      </c>
      <c r="U470" t="s">
        <v>220</v>
      </c>
    </row>
    <row r="471" spans="1:21" hidden="1" x14ac:dyDescent="0.2">
      <c r="A471" s="186" t="s">
        <v>148</v>
      </c>
      <c r="B471" s="128">
        <f t="shared" si="49"/>
        <v>4</v>
      </c>
      <c r="C471" s="128" t="s">
        <v>270</v>
      </c>
      <c r="D471" s="128" t="s">
        <v>496</v>
      </c>
      <c r="E471" s="127">
        <v>887</v>
      </c>
      <c r="F471" s="127">
        <v>87464064</v>
      </c>
      <c r="G471" s="127" t="s">
        <v>1856</v>
      </c>
      <c r="H471" s="187"/>
      <c r="I471" s="187"/>
      <c r="P471" t="str">
        <f t="shared" si="50"/>
        <v>ROZAY4</v>
      </c>
      <c r="Q471" t="str">
        <f t="shared" si="51"/>
        <v>LASSERE</v>
      </c>
      <c r="R471" t="str">
        <f t="shared" si="52"/>
        <v>Alexandrien</v>
      </c>
      <c r="S471">
        <f t="shared" si="53"/>
        <v>887</v>
      </c>
      <c r="T471">
        <f t="shared" si="54"/>
        <v>87464064</v>
      </c>
      <c r="U471" t="s">
        <v>498</v>
      </c>
    </row>
    <row r="472" spans="1:21" hidden="1" x14ac:dyDescent="0.2">
      <c r="A472" s="186" t="s">
        <v>148</v>
      </c>
      <c r="B472" s="128">
        <f t="shared" si="49"/>
        <v>5</v>
      </c>
      <c r="C472" s="128" t="s">
        <v>270</v>
      </c>
      <c r="D472" s="128" t="s">
        <v>765</v>
      </c>
      <c r="E472" s="127">
        <v>708</v>
      </c>
      <c r="F472" s="127">
        <v>97088415</v>
      </c>
      <c r="G472" s="127" t="s">
        <v>1643</v>
      </c>
      <c r="H472" s="187"/>
      <c r="I472" s="187"/>
      <c r="P472" t="str">
        <f t="shared" si="50"/>
        <v>ROZAY5</v>
      </c>
      <c r="Q472" t="str">
        <f t="shared" si="51"/>
        <v>LASSERE</v>
      </c>
      <c r="R472" t="str">
        <f t="shared" si="52"/>
        <v>Donnatien</v>
      </c>
      <c r="S472">
        <f t="shared" si="53"/>
        <v>708</v>
      </c>
      <c r="T472">
        <f t="shared" si="54"/>
        <v>97088415</v>
      </c>
      <c r="U472" t="s">
        <v>782</v>
      </c>
    </row>
    <row r="473" spans="1:21" hidden="1" x14ac:dyDescent="0.2">
      <c r="A473" s="186" t="s">
        <v>148</v>
      </c>
      <c r="B473" s="128">
        <f t="shared" si="49"/>
        <v>6</v>
      </c>
      <c r="C473" s="128" t="s">
        <v>270</v>
      </c>
      <c r="D473" s="128" t="s">
        <v>497</v>
      </c>
      <c r="E473" s="127">
        <v>715</v>
      </c>
      <c r="F473" s="127">
        <v>97064126</v>
      </c>
      <c r="G473" s="127" t="s">
        <v>1856</v>
      </c>
      <c r="H473" s="187"/>
      <c r="I473" s="187"/>
      <c r="P473" t="str">
        <f t="shared" si="50"/>
        <v>ROZAY6</v>
      </c>
      <c r="Q473" t="str">
        <f t="shared" si="51"/>
        <v>LASSERE</v>
      </c>
      <c r="R473" t="str">
        <f t="shared" si="52"/>
        <v>Maximilien</v>
      </c>
      <c r="S473">
        <f t="shared" si="53"/>
        <v>715</v>
      </c>
      <c r="T473">
        <f t="shared" si="54"/>
        <v>97064126</v>
      </c>
      <c r="U473" t="s">
        <v>499</v>
      </c>
    </row>
    <row r="474" spans="1:21" hidden="1" x14ac:dyDescent="0.2">
      <c r="A474" s="186" t="s">
        <v>148</v>
      </c>
      <c r="B474" s="128">
        <f t="shared" si="49"/>
        <v>7</v>
      </c>
      <c r="C474" s="128" t="s">
        <v>270</v>
      </c>
      <c r="D474" s="128" t="s">
        <v>349</v>
      </c>
      <c r="E474" s="127">
        <v>646</v>
      </c>
      <c r="F474" s="127">
        <v>87472332</v>
      </c>
      <c r="G474" s="127" t="s">
        <v>1643</v>
      </c>
      <c r="H474" s="187"/>
      <c r="I474" s="187"/>
      <c r="P474" t="str">
        <f t="shared" si="50"/>
        <v>ROZAY7</v>
      </c>
      <c r="Q474" t="str">
        <f t="shared" si="51"/>
        <v>LASSERE</v>
      </c>
      <c r="R474" t="str">
        <f t="shared" si="52"/>
        <v>Stephanie</v>
      </c>
      <c r="S474">
        <f t="shared" si="53"/>
        <v>646</v>
      </c>
      <c r="T474">
        <f t="shared" si="54"/>
        <v>87472332</v>
      </c>
      <c r="U474" t="s">
        <v>271</v>
      </c>
    </row>
    <row r="475" spans="1:21" hidden="1" x14ac:dyDescent="0.2">
      <c r="A475" s="186" t="s">
        <v>148</v>
      </c>
      <c r="B475" s="128">
        <f t="shared" si="49"/>
        <v>8</v>
      </c>
      <c r="C475" s="128" t="s">
        <v>1230</v>
      </c>
      <c r="D475" s="128" t="s">
        <v>293</v>
      </c>
      <c r="E475" s="127">
        <v>500</v>
      </c>
      <c r="F475" s="127">
        <v>97102257</v>
      </c>
      <c r="G475" s="127" t="s">
        <v>1856</v>
      </c>
      <c r="H475" s="187"/>
      <c r="I475" s="187"/>
      <c r="P475" t="str">
        <f t="shared" si="50"/>
        <v>ROZAY8</v>
      </c>
      <c r="Q475" t="str">
        <f t="shared" si="51"/>
        <v>MANETTI</v>
      </c>
      <c r="R475" t="str">
        <f t="shared" si="52"/>
        <v>Christophe</v>
      </c>
      <c r="S475">
        <f t="shared" si="53"/>
        <v>500</v>
      </c>
      <c r="T475">
        <f t="shared" si="54"/>
        <v>97102257</v>
      </c>
      <c r="U475" t="s">
        <v>1459</v>
      </c>
    </row>
    <row r="476" spans="1:21" hidden="1" x14ac:dyDescent="0.2">
      <c r="A476" s="186" t="s">
        <v>148</v>
      </c>
      <c r="B476" s="128">
        <f t="shared" si="49"/>
        <v>9</v>
      </c>
      <c r="C476" s="128" t="s">
        <v>1536</v>
      </c>
      <c r="D476" s="128" t="s">
        <v>1554</v>
      </c>
      <c r="E476" s="127">
        <v>500</v>
      </c>
      <c r="F476" s="127">
        <v>97107170</v>
      </c>
      <c r="G476" s="127" t="s">
        <v>1856</v>
      </c>
      <c r="H476" s="187"/>
      <c r="I476" s="187"/>
      <c r="P476" t="str">
        <f t="shared" si="50"/>
        <v>ROZAY9</v>
      </c>
      <c r="Q476" t="str">
        <f t="shared" si="51"/>
        <v>MARIERE</v>
      </c>
      <c r="R476" t="str">
        <f t="shared" si="52"/>
        <v>Teo</v>
      </c>
      <c r="S476">
        <f t="shared" si="53"/>
        <v>500</v>
      </c>
      <c r="T476">
        <f t="shared" si="54"/>
        <v>97107170</v>
      </c>
      <c r="U476" t="s">
        <v>1579</v>
      </c>
    </row>
    <row r="477" spans="1:21" hidden="1" x14ac:dyDescent="0.2">
      <c r="A477" s="186" t="s">
        <v>148</v>
      </c>
      <c r="B477" s="128">
        <f t="shared" si="49"/>
        <v>10</v>
      </c>
      <c r="C477" s="128" t="s">
        <v>93</v>
      </c>
      <c r="D477" s="128" t="s">
        <v>343</v>
      </c>
      <c r="E477" s="127">
        <v>936</v>
      </c>
      <c r="F477" s="127">
        <v>55313292</v>
      </c>
      <c r="G477" s="127" t="s">
        <v>1643</v>
      </c>
      <c r="H477" s="187"/>
      <c r="I477" s="187"/>
      <c r="P477" t="str">
        <f t="shared" si="50"/>
        <v>ROZAY10</v>
      </c>
      <c r="Q477" t="str">
        <f t="shared" si="51"/>
        <v>MATHIES</v>
      </c>
      <c r="R477" t="str">
        <f t="shared" si="52"/>
        <v>Sylvain</v>
      </c>
      <c r="S477">
        <f t="shared" si="53"/>
        <v>936</v>
      </c>
      <c r="T477">
        <f t="shared" si="54"/>
        <v>55313292</v>
      </c>
      <c r="U477" t="s">
        <v>221</v>
      </c>
    </row>
    <row r="478" spans="1:21" hidden="1" x14ac:dyDescent="0.2">
      <c r="A478" s="186" t="s">
        <v>148</v>
      </c>
      <c r="B478" s="128">
        <f t="shared" si="49"/>
        <v>11</v>
      </c>
      <c r="C478" s="128" t="s">
        <v>1535</v>
      </c>
      <c r="D478" s="128" t="s">
        <v>1553</v>
      </c>
      <c r="E478" s="127">
        <v>500</v>
      </c>
      <c r="F478" s="127">
        <v>97107291</v>
      </c>
      <c r="G478" s="127" t="s">
        <v>1856</v>
      </c>
      <c r="H478" s="187"/>
      <c r="I478" s="187"/>
      <c r="P478" t="str">
        <f t="shared" si="50"/>
        <v>ROZAY11</v>
      </c>
      <c r="Q478" t="str">
        <f t="shared" si="51"/>
        <v>PINTOS VILLORIA</v>
      </c>
      <c r="R478" t="str">
        <f t="shared" si="52"/>
        <v>Marien</v>
      </c>
      <c r="S478">
        <f t="shared" si="53"/>
        <v>500</v>
      </c>
      <c r="T478">
        <f t="shared" si="54"/>
        <v>97107291</v>
      </c>
      <c r="U478" t="s">
        <v>1578</v>
      </c>
    </row>
    <row r="479" spans="1:21" hidden="1" x14ac:dyDescent="0.2">
      <c r="A479" s="186" t="s">
        <v>148</v>
      </c>
      <c r="B479" s="128">
        <f t="shared" si="49"/>
        <v>12</v>
      </c>
      <c r="C479" s="128" t="s">
        <v>1894</v>
      </c>
      <c r="D479" s="128" t="s">
        <v>282</v>
      </c>
      <c r="E479" s="127">
        <v>500</v>
      </c>
      <c r="F479" s="127">
        <v>97110398</v>
      </c>
      <c r="G479" s="127" t="s">
        <v>1643</v>
      </c>
      <c r="H479" s="187"/>
      <c r="I479" s="187"/>
      <c r="P479" t="str">
        <f t="shared" si="50"/>
        <v>ROZAY12</v>
      </c>
      <c r="Q479" t="str">
        <f t="shared" si="51"/>
        <v>PIRET</v>
      </c>
      <c r="R479" t="str">
        <f t="shared" si="52"/>
        <v>Olivier</v>
      </c>
      <c r="S479">
        <f t="shared" si="53"/>
        <v>500</v>
      </c>
      <c r="T479">
        <f t="shared" si="54"/>
        <v>97110398</v>
      </c>
      <c r="U479" t="s">
        <v>1986</v>
      </c>
    </row>
    <row r="480" spans="1:21" hidden="1" x14ac:dyDescent="0.2">
      <c r="A480" s="186" t="s">
        <v>148</v>
      </c>
      <c r="B480" s="128">
        <f t="shared" si="49"/>
        <v>13</v>
      </c>
      <c r="C480" s="128" t="s">
        <v>92</v>
      </c>
      <c r="D480" s="128" t="s">
        <v>355</v>
      </c>
      <c r="E480" s="127">
        <v>500</v>
      </c>
      <c r="F480" s="127">
        <v>55338761</v>
      </c>
      <c r="G480" s="127" t="s">
        <v>1643</v>
      </c>
      <c r="H480" s="187"/>
      <c r="I480" s="187"/>
      <c r="P480" t="str">
        <f t="shared" si="50"/>
        <v>ROZAY13</v>
      </c>
      <c r="Q480" t="str">
        <f t="shared" si="51"/>
        <v>PUEYO</v>
      </c>
      <c r="R480" t="str">
        <f t="shared" si="52"/>
        <v>Annette</v>
      </c>
      <c r="S480">
        <f t="shared" si="53"/>
        <v>500</v>
      </c>
      <c r="T480">
        <f t="shared" si="54"/>
        <v>55338761</v>
      </c>
      <c r="U480" t="s">
        <v>222</v>
      </c>
    </row>
    <row r="481" spans="1:21" hidden="1" x14ac:dyDescent="0.2">
      <c r="A481" s="186" t="s">
        <v>148</v>
      </c>
      <c r="B481" s="128">
        <f t="shared" si="49"/>
        <v>14</v>
      </c>
      <c r="C481" s="128" t="s">
        <v>92</v>
      </c>
      <c r="D481" s="128" t="s">
        <v>346</v>
      </c>
      <c r="E481" s="127">
        <v>1088</v>
      </c>
      <c r="F481" s="127">
        <v>3552018</v>
      </c>
      <c r="G481" s="127" t="s">
        <v>1643</v>
      </c>
      <c r="H481" s="187"/>
      <c r="I481" s="187"/>
      <c r="P481" t="str">
        <f t="shared" si="50"/>
        <v>ROZAY14</v>
      </c>
      <c r="Q481" t="str">
        <f t="shared" si="51"/>
        <v>PUEYO</v>
      </c>
      <c r="R481" t="str">
        <f t="shared" si="52"/>
        <v>Jean Claude</v>
      </c>
      <c r="S481">
        <f t="shared" si="53"/>
        <v>1088</v>
      </c>
      <c r="T481">
        <f t="shared" si="54"/>
        <v>3552018</v>
      </c>
      <c r="U481" t="s">
        <v>223</v>
      </c>
    </row>
    <row r="482" spans="1:21" x14ac:dyDescent="0.2">
      <c r="A482" s="186" t="s">
        <v>150</v>
      </c>
      <c r="B482" s="128">
        <f t="shared" si="49"/>
        <v>1</v>
      </c>
      <c r="C482" s="128" t="s">
        <v>794</v>
      </c>
      <c r="D482" s="128" t="s">
        <v>641</v>
      </c>
      <c r="E482" s="127">
        <v>1110</v>
      </c>
      <c r="F482" s="127">
        <v>87461760</v>
      </c>
      <c r="G482" s="127" t="s">
        <v>1643</v>
      </c>
      <c r="H482" s="187"/>
      <c r="I482" s="187"/>
      <c r="P482" t="str">
        <f t="shared" si="50"/>
        <v>VENEUX1</v>
      </c>
      <c r="Q482" t="str">
        <f t="shared" si="51"/>
        <v>AGNIER</v>
      </c>
      <c r="R482" t="str">
        <f t="shared" si="52"/>
        <v>Léo</v>
      </c>
      <c r="S482">
        <f t="shared" si="53"/>
        <v>1110</v>
      </c>
      <c r="T482">
        <f t="shared" si="54"/>
        <v>87461760</v>
      </c>
      <c r="U482" t="s">
        <v>813</v>
      </c>
    </row>
    <row r="483" spans="1:21" x14ac:dyDescent="0.2">
      <c r="A483" s="186" t="s">
        <v>150</v>
      </c>
      <c r="B483" s="128">
        <f t="shared" si="49"/>
        <v>2</v>
      </c>
      <c r="C483" s="128" t="s">
        <v>493</v>
      </c>
      <c r="D483" s="128" t="s">
        <v>312</v>
      </c>
      <c r="E483" s="127">
        <v>806</v>
      </c>
      <c r="F483" s="127">
        <v>97065885</v>
      </c>
      <c r="G483" s="127" t="s">
        <v>1856</v>
      </c>
      <c r="H483" s="187"/>
      <c r="I483" s="187"/>
      <c r="P483" t="str">
        <f t="shared" si="50"/>
        <v>VENEUX2</v>
      </c>
      <c r="Q483" t="str">
        <f t="shared" si="51"/>
        <v>AGRON</v>
      </c>
      <c r="R483" t="str">
        <f t="shared" si="52"/>
        <v>Patrice</v>
      </c>
      <c r="S483">
        <f t="shared" si="53"/>
        <v>806</v>
      </c>
      <c r="T483">
        <f t="shared" si="54"/>
        <v>97065885</v>
      </c>
      <c r="U483" t="s">
        <v>494</v>
      </c>
    </row>
    <row r="484" spans="1:21" x14ac:dyDescent="0.2">
      <c r="A484" s="186" t="s">
        <v>150</v>
      </c>
      <c r="B484" s="128">
        <f>IF(A484=A483,B483+1,1)</f>
        <v>3</v>
      </c>
      <c r="C484" s="128" t="s">
        <v>1751</v>
      </c>
      <c r="D484" s="128" t="s">
        <v>292</v>
      </c>
      <c r="E484" s="127">
        <v>550</v>
      </c>
      <c r="F484" s="127">
        <v>97109923</v>
      </c>
      <c r="G484" s="127" t="s">
        <v>1643</v>
      </c>
      <c r="H484" s="187"/>
      <c r="I484" s="187"/>
      <c r="P484" t="str">
        <f t="shared" si="50"/>
        <v>VENEUX3</v>
      </c>
      <c r="Q484" t="str">
        <f t="shared" si="51"/>
        <v>AIRAULT</v>
      </c>
      <c r="R484" t="str">
        <f t="shared" si="52"/>
        <v>Philippe</v>
      </c>
      <c r="S484">
        <f t="shared" si="53"/>
        <v>550</v>
      </c>
      <c r="T484">
        <f t="shared" si="54"/>
        <v>97109923</v>
      </c>
      <c r="U484" t="s">
        <v>1752</v>
      </c>
    </row>
    <row r="485" spans="1:21" x14ac:dyDescent="0.2">
      <c r="A485" s="186" t="s">
        <v>150</v>
      </c>
      <c r="B485" s="128">
        <f t="shared" si="49"/>
        <v>4</v>
      </c>
      <c r="C485" s="128" t="s">
        <v>633</v>
      </c>
      <c r="D485" s="128" t="s">
        <v>296</v>
      </c>
      <c r="E485" s="127">
        <v>500</v>
      </c>
      <c r="F485" s="127">
        <v>97081700</v>
      </c>
      <c r="G485" s="127" t="s">
        <v>1856</v>
      </c>
      <c r="H485" s="187"/>
      <c r="I485" s="187"/>
      <c r="P485" t="str">
        <f t="shared" si="50"/>
        <v>VENEUX4</v>
      </c>
      <c r="Q485" t="str">
        <f t="shared" si="51"/>
        <v>AVRIL</v>
      </c>
      <c r="R485" t="str">
        <f t="shared" si="52"/>
        <v>Romain</v>
      </c>
      <c r="S485">
        <f t="shared" si="53"/>
        <v>500</v>
      </c>
      <c r="T485">
        <f t="shared" si="54"/>
        <v>97081700</v>
      </c>
      <c r="U485" t="s">
        <v>643</v>
      </c>
    </row>
    <row r="486" spans="1:21" x14ac:dyDescent="0.2">
      <c r="A486" s="186" t="s">
        <v>150</v>
      </c>
      <c r="B486" s="128">
        <f t="shared" si="49"/>
        <v>5</v>
      </c>
      <c r="C486" s="128" t="s">
        <v>1948</v>
      </c>
      <c r="D486" s="128" t="s">
        <v>661</v>
      </c>
      <c r="E486" s="127">
        <v>500</v>
      </c>
      <c r="F486" s="127">
        <v>97110891</v>
      </c>
      <c r="G486" s="127" t="s">
        <v>1643</v>
      </c>
      <c r="H486" s="187"/>
      <c r="I486" s="187"/>
      <c r="P486" t="str">
        <f t="shared" si="50"/>
        <v>VENEUX5</v>
      </c>
      <c r="Q486" t="str">
        <f t="shared" si="51"/>
        <v>BARRAULT GUEBIN</v>
      </c>
      <c r="R486" t="str">
        <f t="shared" si="52"/>
        <v>Enzo</v>
      </c>
      <c r="S486">
        <f t="shared" si="53"/>
        <v>500</v>
      </c>
      <c r="T486">
        <f t="shared" si="54"/>
        <v>97110891</v>
      </c>
      <c r="U486" t="s">
        <v>1987</v>
      </c>
    </row>
    <row r="487" spans="1:21" x14ac:dyDescent="0.2">
      <c r="A487" s="186" t="s">
        <v>150</v>
      </c>
      <c r="B487" s="128">
        <f t="shared" ref="B487:B551" si="55">IF(A487=A486,B486+1,1)</f>
        <v>6</v>
      </c>
      <c r="C487" s="128" t="s">
        <v>1168</v>
      </c>
      <c r="D487" s="128" t="s">
        <v>1944</v>
      </c>
      <c r="E487" s="127">
        <v>500</v>
      </c>
      <c r="F487" s="127">
        <v>97111597</v>
      </c>
      <c r="G487" s="127" t="s">
        <v>1643</v>
      </c>
      <c r="H487" s="187"/>
      <c r="I487" s="187"/>
      <c r="P487" t="str">
        <f t="shared" ref="P487:P551" si="56">A487&amp;B487</f>
        <v>VENEUX6</v>
      </c>
      <c r="Q487" t="str">
        <f t="shared" si="51"/>
        <v>BERNARD</v>
      </c>
      <c r="R487" t="str">
        <f t="shared" si="52"/>
        <v>Catherine</v>
      </c>
      <c r="S487">
        <f t="shared" si="53"/>
        <v>500</v>
      </c>
      <c r="T487">
        <f t="shared" si="54"/>
        <v>97111597</v>
      </c>
      <c r="U487" t="s">
        <v>1988</v>
      </c>
    </row>
    <row r="488" spans="1:21" x14ac:dyDescent="0.2">
      <c r="A488" s="186" t="s">
        <v>150</v>
      </c>
      <c r="B488" s="128">
        <f t="shared" si="55"/>
        <v>7</v>
      </c>
      <c r="C488" s="128" t="s">
        <v>610</v>
      </c>
      <c r="D488" s="128" t="s">
        <v>309</v>
      </c>
      <c r="E488" s="127">
        <v>500</v>
      </c>
      <c r="F488" s="127">
        <v>97079763</v>
      </c>
      <c r="G488" s="127" t="s">
        <v>1856</v>
      </c>
      <c r="H488" s="187"/>
      <c r="I488" s="187"/>
      <c r="P488" t="str">
        <f t="shared" si="56"/>
        <v>VENEUX7</v>
      </c>
      <c r="Q488" t="str">
        <f t="shared" si="51"/>
        <v>BLANCHARD</v>
      </c>
      <c r="R488" t="str">
        <f t="shared" si="52"/>
        <v>Thierry</v>
      </c>
      <c r="S488">
        <f t="shared" si="53"/>
        <v>500</v>
      </c>
      <c r="T488">
        <f t="shared" si="54"/>
        <v>97079763</v>
      </c>
      <c r="U488" t="s">
        <v>617</v>
      </c>
    </row>
    <row r="489" spans="1:21" x14ac:dyDescent="0.2">
      <c r="A489" s="186" t="s">
        <v>150</v>
      </c>
      <c r="B489" s="128">
        <f t="shared" si="55"/>
        <v>8</v>
      </c>
      <c r="C489" s="128" t="s">
        <v>1942</v>
      </c>
      <c r="D489" s="128" t="s">
        <v>1271</v>
      </c>
      <c r="E489" s="127">
        <v>758</v>
      </c>
      <c r="F489" s="127">
        <v>97111598</v>
      </c>
      <c r="G489" s="127" t="s">
        <v>1643</v>
      </c>
      <c r="H489" s="187"/>
      <c r="I489" s="187"/>
      <c r="P489" t="str">
        <f t="shared" si="56"/>
        <v>VENEUX8</v>
      </c>
      <c r="Q489" t="str">
        <f t="shared" si="51"/>
        <v>BOISSOT</v>
      </c>
      <c r="R489" t="str">
        <f t="shared" si="52"/>
        <v>Arthur</v>
      </c>
      <c r="S489">
        <f t="shared" si="53"/>
        <v>758</v>
      </c>
      <c r="T489">
        <f t="shared" si="54"/>
        <v>97111598</v>
      </c>
      <c r="U489" t="s">
        <v>1989</v>
      </c>
    </row>
    <row r="490" spans="1:21" x14ac:dyDescent="0.2">
      <c r="A490" s="186" t="s">
        <v>150</v>
      </c>
      <c r="B490" s="128">
        <f t="shared" si="55"/>
        <v>9</v>
      </c>
      <c r="C490" s="128" t="s">
        <v>656</v>
      </c>
      <c r="D490" s="128" t="s">
        <v>662</v>
      </c>
      <c r="E490" s="127">
        <v>883</v>
      </c>
      <c r="F490" s="127">
        <v>97082899</v>
      </c>
      <c r="G490" s="127" t="s">
        <v>1643</v>
      </c>
      <c r="H490" s="187"/>
      <c r="I490" s="187"/>
      <c r="P490" t="str">
        <f t="shared" si="56"/>
        <v>VENEUX9</v>
      </c>
      <c r="Q490" t="str">
        <f t="shared" si="51"/>
        <v>BORDAGE</v>
      </c>
      <c r="R490" t="str">
        <f t="shared" si="52"/>
        <v>Jean-Yves</v>
      </c>
      <c r="S490">
        <f t="shared" si="53"/>
        <v>883</v>
      </c>
      <c r="T490">
        <f t="shared" si="54"/>
        <v>97082899</v>
      </c>
      <c r="U490" t="s">
        <v>668</v>
      </c>
    </row>
    <row r="491" spans="1:21" x14ac:dyDescent="0.2">
      <c r="A491" s="186" t="s">
        <v>150</v>
      </c>
      <c r="B491" s="128">
        <f t="shared" si="55"/>
        <v>10</v>
      </c>
      <c r="C491" s="128" t="s">
        <v>749</v>
      </c>
      <c r="D491" s="128" t="s">
        <v>302</v>
      </c>
      <c r="E491" s="127">
        <v>698</v>
      </c>
      <c r="F491" s="127">
        <v>97087184</v>
      </c>
      <c r="G491" s="127" t="s">
        <v>1643</v>
      </c>
      <c r="H491" s="187"/>
      <c r="I491" s="187"/>
      <c r="P491" t="str">
        <f t="shared" si="56"/>
        <v>VENEUX10</v>
      </c>
      <c r="Q491" t="str">
        <f t="shared" si="51"/>
        <v>BOUCHER</v>
      </c>
      <c r="R491" t="str">
        <f t="shared" si="52"/>
        <v>Cyril</v>
      </c>
      <c r="S491">
        <f t="shared" si="53"/>
        <v>698</v>
      </c>
      <c r="T491">
        <f t="shared" si="54"/>
        <v>97087184</v>
      </c>
      <c r="U491" t="s">
        <v>783</v>
      </c>
    </row>
    <row r="492" spans="1:21" x14ac:dyDescent="0.2">
      <c r="A492" s="186" t="s">
        <v>150</v>
      </c>
      <c r="B492" s="128">
        <f t="shared" si="55"/>
        <v>11</v>
      </c>
      <c r="C492" s="128" t="s">
        <v>503</v>
      </c>
      <c r="D492" s="128" t="s">
        <v>326</v>
      </c>
      <c r="E492" s="127">
        <v>500</v>
      </c>
      <c r="F492" s="127">
        <v>97064373</v>
      </c>
      <c r="G492" s="127" t="s">
        <v>1643</v>
      </c>
      <c r="H492" s="187"/>
      <c r="I492" s="187"/>
      <c r="P492" t="str">
        <f t="shared" si="56"/>
        <v>VENEUX11</v>
      </c>
      <c r="Q492" t="str">
        <f t="shared" si="51"/>
        <v>BOURASSIN</v>
      </c>
      <c r="R492" t="str">
        <f t="shared" si="52"/>
        <v>Bruno</v>
      </c>
      <c r="S492">
        <f t="shared" si="53"/>
        <v>500</v>
      </c>
      <c r="T492">
        <f t="shared" si="54"/>
        <v>97064373</v>
      </c>
      <c r="U492" t="s">
        <v>504</v>
      </c>
    </row>
    <row r="493" spans="1:21" x14ac:dyDescent="0.2">
      <c r="A493" s="186" t="s">
        <v>150</v>
      </c>
      <c r="B493" s="128">
        <f t="shared" si="55"/>
        <v>12</v>
      </c>
      <c r="C493" s="128" t="s">
        <v>1251</v>
      </c>
      <c r="D493" s="128" t="s">
        <v>615</v>
      </c>
      <c r="E493" s="127">
        <v>500</v>
      </c>
      <c r="F493" s="127">
        <v>97110997</v>
      </c>
      <c r="G493" s="127" t="s">
        <v>1643</v>
      </c>
      <c r="H493" s="187"/>
      <c r="I493" s="187"/>
      <c r="P493" t="str">
        <f t="shared" si="56"/>
        <v>VENEUX12</v>
      </c>
      <c r="Q493" t="str">
        <f t="shared" si="51"/>
        <v>BOURGIS</v>
      </c>
      <c r="R493" t="str">
        <f t="shared" si="52"/>
        <v>Jérôme</v>
      </c>
      <c r="S493">
        <f t="shared" si="53"/>
        <v>500</v>
      </c>
      <c r="T493">
        <f t="shared" si="54"/>
        <v>97110997</v>
      </c>
      <c r="U493" t="s">
        <v>1990</v>
      </c>
    </row>
    <row r="494" spans="1:21" x14ac:dyDescent="0.2">
      <c r="A494" s="186" t="s">
        <v>150</v>
      </c>
      <c r="B494" s="128">
        <f t="shared" si="55"/>
        <v>13</v>
      </c>
      <c r="C494" s="128" t="s">
        <v>1251</v>
      </c>
      <c r="D494" s="128" t="s">
        <v>1339</v>
      </c>
      <c r="E494" s="127">
        <v>500</v>
      </c>
      <c r="F494" s="127">
        <v>97103224</v>
      </c>
      <c r="G494" s="127" t="s">
        <v>1643</v>
      </c>
      <c r="H494" s="187"/>
      <c r="I494" s="187"/>
      <c r="P494" t="str">
        <f t="shared" si="56"/>
        <v>VENEUX13</v>
      </c>
      <c r="Q494" t="str">
        <f t="shared" si="51"/>
        <v>BOURGIS</v>
      </c>
      <c r="R494" t="str">
        <f t="shared" si="52"/>
        <v>Leona</v>
      </c>
      <c r="S494">
        <f t="shared" si="53"/>
        <v>500</v>
      </c>
      <c r="T494">
        <f t="shared" si="54"/>
        <v>97103224</v>
      </c>
      <c r="U494" t="s">
        <v>1485</v>
      </c>
    </row>
    <row r="495" spans="1:21" x14ac:dyDescent="0.2">
      <c r="A495" s="186" t="s">
        <v>150</v>
      </c>
      <c r="B495" s="128">
        <f t="shared" si="55"/>
        <v>14</v>
      </c>
      <c r="C495" s="128" t="s">
        <v>594</v>
      </c>
      <c r="D495" s="128" t="s">
        <v>326</v>
      </c>
      <c r="E495" s="127">
        <v>748</v>
      </c>
      <c r="F495" s="127">
        <v>55334708</v>
      </c>
      <c r="G495" s="127" t="s">
        <v>1643</v>
      </c>
      <c r="H495" s="187"/>
      <c r="I495" s="187"/>
      <c r="P495" t="str">
        <f t="shared" si="56"/>
        <v>VENEUX14</v>
      </c>
      <c r="Q495" t="str">
        <f t="shared" si="51"/>
        <v>BREBION</v>
      </c>
      <c r="R495" t="str">
        <f t="shared" si="52"/>
        <v>Bruno</v>
      </c>
      <c r="S495">
        <f t="shared" si="53"/>
        <v>748</v>
      </c>
      <c r="T495">
        <f t="shared" si="54"/>
        <v>55334708</v>
      </c>
      <c r="U495" t="s">
        <v>604</v>
      </c>
    </row>
    <row r="496" spans="1:21" x14ac:dyDescent="0.2">
      <c r="A496" s="186" t="s">
        <v>150</v>
      </c>
      <c r="B496" s="128">
        <f t="shared" si="55"/>
        <v>15</v>
      </c>
      <c r="C496" s="128" t="s">
        <v>594</v>
      </c>
      <c r="D496" s="128" t="s">
        <v>278</v>
      </c>
      <c r="E496" s="127">
        <v>501</v>
      </c>
      <c r="F496" s="127">
        <v>55333664</v>
      </c>
      <c r="G496" s="127" t="s">
        <v>1643</v>
      </c>
      <c r="H496" s="187"/>
      <c r="I496" s="187"/>
      <c r="P496" t="str">
        <f t="shared" si="56"/>
        <v>VENEUX15</v>
      </c>
      <c r="Q496" t="str">
        <f t="shared" si="51"/>
        <v>BREBION</v>
      </c>
      <c r="R496" t="str">
        <f t="shared" si="52"/>
        <v>Stephane</v>
      </c>
      <c r="S496">
        <f t="shared" si="53"/>
        <v>501</v>
      </c>
      <c r="T496">
        <f t="shared" si="54"/>
        <v>55333664</v>
      </c>
      <c r="U496" t="s">
        <v>1480</v>
      </c>
    </row>
    <row r="497" spans="1:21" x14ac:dyDescent="0.2">
      <c r="A497" s="186" t="s">
        <v>150</v>
      </c>
      <c r="B497" s="128">
        <f t="shared" si="55"/>
        <v>16</v>
      </c>
      <c r="C497" s="128" t="s">
        <v>1760</v>
      </c>
      <c r="D497" s="128" t="s">
        <v>518</v>
      </c>
      <c r="E497" s="127">
        <v>500</v>
      </c>
      <c r="F497" s="127">
        <v>97109573</v>
      </c>
      <c r="G497" s="127" t="s">
        <v>1643</v>
      </c>
      <c r="H497" s="187"/>
      <c r="I497" s="187"/>
      <c r="P497" t="str">
        <f t="shared" si="56"/>
        <v>VENEUX16</v>
      </c>
      <c r="Q497" t="str">
        <f t="shared" si="51"/>
        <v>CANTELOUP</v>
      </c>
      <c r="R497" t="str">
        <f t="shared" si="52"/>
        <v>Frédéric</v>
      </c>
      <c r="S497">
        <f t="shared" si="53"/>
        <v>500</v>
      </c>
      <c r="T497">
        <f t="shared" si="54"/>
        <v>97109573</v>
      </c>
      <c r="U497" t="s">
        <v>1761</v>
      </c>
    </row>
    <row r="498" spans="1:21" x14ac:dyDescent="0.2">
      <c r="A498" s="186" t="s">
        <v>150</v>
      </c>
      <c r="B498" s="128">
        <f t="shared" si="55"/>
        <v>17</v>
      </c>
      <c r="C498" s="128" t="s">
        <v>1259</v>
      </c>
      <c r="D498" s="128" t="s">
        <v>1343</v>
      </c>
      <c r="E498" s="127">
        <v>500</v>
      </c>
      <c r="F498" s="127">
        <v>97102251</v>
      </c>
      <c r="G498" s="127" t="s">
        <v>1856</v>
      </c>
      <c r="H498" s="187"/>
      <c r="I498" s="187"/>
      <c r="P498" t="str">
        <f t="shared" si="56"/>
        <v>VENEUX17</v>
      </c>
      <c r="Q498" t="str">
        <f t="shared" si="51"/>
        <v>CHABAUD</v>
      </c>
      <c r="R498" t="str">
        <f t="shared" si="52"/>
        <v>Severine</v>
      </c>
      <c r="S498">
        <f t="shared" si="53"/>
        <v>500</v>
      </c>
      <c r="T498">
        <f t="shared" si="54"/>
        <v>97102251</v>
      </c>
      <c r="U498" t="s">
        <v>1493</v>
      </c>
    </row>
    <row r="499" spans="1:21" x14ac:dyDescent="0.2">
      <c r="A499" s="186" t="s">
        <v>150</v>
      </c>
      <c r="B499" s="128">
        <f t="shared" si="55"/>
        <v>18</v>
      </c>
      <c r="C499" s="128" t="s">
        <v>1262</v>
      </c>
      <c r="D499" s="128" t="s">
        <v>1346</v>
      </c>
      <c r="E499" s="127">
        <v>500</v>
      </c>
      <c r="F499" s="127">
        <v>97060143</v>
      </c>
      <c r="G499" s="127" t="s">
        <v>1856</v>
      </c>
      <c r="H499" s="187"/>
      <c r="I499" s="187"/>
      <c r="P499" t="str">
        <f t="shared" si="56"/>
        <v>VENEUX18</v>
      </c>
      <c r="Q499" t="str">
        <f t="shared" si="51"/>
        <v>CHAMOURET</v>
      </c>
      <c r="R499" t="str">
        <f t="shared" si="52"/>
        <v>Ambroise</v>
      </c>
      <c r="S499">
        <f t="shared" si="53"/>
        <v>500</v>
      </c>
      <c r="T499">
        <f t="shared" si="54"/>
        <v>97060143</v>
      </c>
      <c r="U499" t="s">
        <v>1496</v>
      </c>
    </row>
    <row r="500" spans="1:21" x14ac:dyDescent="0.2">
      <c r="A500" s="186" t="s">
        <v>150</v>
      </c>
      <c r="B500" s="128">
        <f t="shared" si="55"/>
        <v>19</v>
      </c>
      <c r="C500" s="128" t="s">
        <v>1248</v>
      </c>
      <c r="D500" s="128" t="s">
        <v>1336</v>
      </c>
      <c r="E500" s="127">
        <v>500</v>
      </c>
      <c r="F500" s="127">
        <v>97102252</v>
      </c>
      <c r="G500" s="127" t="s">
        <v>1856</v>
      </c>
      <c r="H500" s="187"/>
      <c r="I500" s="187"/>
      <c r="P500" t="str">
        <f t="shared" si="56"/>
        <v>VENEUX19</v>
      </c>
      <c r="Q500" t="str">
        <f t="shared" si="51"/>
        <v>CHANTIN</v>
      </c>
      <c r="R500" t="str">
        <f t="shared" si="52"/>
        <v>Valerie</v>
      </c>
      <c r="S500">
        <f t="shared" si="53"/>
        <v>500</v>
      </c>
      <c r="T500">
        <f t="shared" si="54"/>
        <v>97102252</v>
      </c>
      <c r="U500" t="s">
        <v>1479</v>
      </c>
    </row>
    <row r="501" spans="1:21" x14ac:dyDescent="0.2">
      <c r="A501" s="186" t="s">
        <v>150</v>
      </c>
      <c r="B501" s="128">
        <f t="shared" si="55"/>
        <v>20</v>
      </c>
      <c r="C501" s="128" t="s">
        <v>851</v>
      </c>
      <c r="D501" s="128" t="s">
        <v>875</v>
      </c>
      <c r="E501" s="127">
        <v>1318</v>
      </c>
      <c r="F501" s="127">
        <v>87416160</v>
      </c>
      <c r="G501" s="127" t="s">
        <v>1856</v>
      </c>
      <c r="H501" s="187"/>
      <c r="I501" s="187"/>
      <c r="P501" t="str">
        <f t="shared" si="56"/>
        <v>VENEUX20</v>
      </c>
      <c r="Q501" t="str">
        <f t="shared" si="51"/>
        <v>CHASSEVENT</v>
      </c>
      <c r="R501" t="str">
        <f t="shared" si="52"/>
        <v>Melvin</v>
      </c>
      <c r="S501">
        <f t="shared" si="53"/>
        <v>1318</v>
      </c>
      <c r="T501">
        <f t="shared" si="54"/>
        <v>87416160</v>
      </c>
      <c r="U501" t="s">
        <v>911</v>
      </c>
    </row>
    <row r="502" spans="1:21" x14ac:dyDescent="0.2">
      <c r="A502" s="186" t="s">
        <v>150</v>
      </c>
      <c r="B502" s="128">
        <f t="shared" si="55"/>
        <v>21</v>
      </c>
      <c r="C502" s="128" t="s">
        <v>935</v>
      </c>
      <c r="D502" s="128" t="s">
        <v>949</v>
      </c>
      <c r="E502" s="127">
        <v>500</v>
      </c>
      <c r="F502" s="127">
        <v>97095272</v>
      </c>
      <c r="G502" s="127" t="s">
        <v>1643</v>
      </c>
      <c r="H502" s="187"/>
      <c r="I502" s="187"/>
      <c r="P502" t="str">
        <f t="shared" si="56"/>
        <v>VENEUX21</v>
      </c>
      <c r="Q502" t="str">
        <f t="shared" si="51"/>
        <v>CHAUMIER</v>
      </c>
      <c r="R502" t="str">
        <f t="shared" si="52"/>
        <v>Nicole</v>
      </c>
      <c r="S502">
        <f t="shared" si="53"/>
        <v>500</v>
      </c>
      <c r="T502">
        <f t="shared" si="54"/>
        <v>97095272</v>
      </c>
      <c r="U502" t="s">
        <v>965</v>
      </c>
    </row>
    <row r="503" spans="1:21" x14ac:dyDescent="0.2">
      <c r="A503" s="186" t="s">
        <v>150</v>
      </c>
      <c r="B503" s="128">
        <f t="shared" si="55"/>
        <v>22</v>
      </c>
      <c r="C503" s="128" t="s">
        <v>1257</v>
      </c>
      <c r="D503" s="128" t="s">
        <v>1342</v>
      </c>
      <c r="E503" s="127">
        <v>531</v>
      </c>
      <c r="F503" s="127">
        <v>97105669</v>
      </c>
      <c r="G503" s="127" t="s">
        <v>1643</v>
      </c>
      <c r="H503" s="187"/>
      <c r="I503" s="187"/>
      <c r="P503" t="str">
        <f t="shared" si="56"/>
        <v>VENEUX22</v>
      </c>
      <c r="Q503" t="str">
        <f t="shared" si="51"/>
        <v>CHEKIR SALCEDO</v>
      </c>
      <c r="R503" t="str">
        <f t="shared" si="52"/>
        <v>Liahm</v>
      </c>
      <c r="S503">
        <f t="shared" si="53"/>
        <v>531</v>
      </c>
      <c r="T503">
        <f t="shared" si="54"/>
        <v>97105669</v>
      </c>
      <c r="U503" t="s">
        <v>1491</v>
      </c>
    </row>
    <row r="504" spans="1:21" x14ac:dyDescent="0.2">
      <c r="A504" s="186" t="s">
        <v>150</v>
      </c>
      <c r="B504" s="128">
        <f t="shared" si="55"/>
        <v>23</v>
      </c>
      <c r="C504" s="128" t="s">
        <v>111</v>
      </c>
      <c r="D504" s="128" t="s">
        <v>353</v>
      </c>
      <c r="E504" s="127">
        <v>621</v>
      </c>
      <c r="F504" s="127">
        <v>87458320</v>
      </c>
      <c r="G504" s="127" t="s">
        <v>1643</v>
      </c>
      <c r="H504" s="187"/>
      <c r="I504" s="187"/>
      <c r="P504" t="str">
        <f t="shared" si="56"/>
        <v>VENEUX23</v>
      </c>
      <c r="Q504" t="str">
        <f t="shared" si="51"/>
        <v>CLAUSS-COUVREUR-NEU</v>
      </c>
      <c r="R504" t="str">
        <f t="shared" si="52"/>
        <v>Tristan</v>
      </c>
      <c r="S504">
        <f t="shared" si="53"/>
        <v>621</v>
      </c>
      <c r="T504">
        <f t="shared" si="54"/>
        <v>87458320</v>
      </c>
      <c r="U504" t="s">
        <v>460</v>
      </c>
    </row>
    <row r="505" spans="1:21" x14ac:dyDescent="0.2">
      <c r="A505" s="186" t="s">
        <v>150</v>
      </c>
      <c r="B505" s="128">
        <f t="shared" si="55"/>
        <v>24</v>
      </c>
      <c r="C505" s="128" t="s">
        <v>1623</v>
      </c>
      <c r="D505" s="128" t="s">
        <v>292</v>
      </c>
      <c r="E505" s="127">
        <v>500</v>
      </c>
      <c r="F505" s="127">
        <v>97065882</v>
      </c>
      <c r="G505" s="127" t="s">
        <v>1643</v>
      </c>
      <c r="H505" s="187"/>
      <c r="I505" s="187"/>
      <c r="P505" t="str">
        <f t="shared" si="56"/>
        <v>VENEUX24</v>
      </c>
      <c r="Q505" t="str">
        <f t="shared" si="51"/>
        <v>COEVOET</v>
      </c>
      <c r="R505" t="str">
        <f t="shared" si="52"/>
        <v>Philippe</v>
      </c>
      <c r="S505">
        <f t="shared" si="53"/>
        <v>500</v>
      </c>
      <c r="T505">
        <f t="shared" si="54"/>
        <v>97065882</v>
      </c>
      <c r="U505" t="s">
        <v>509</v>
      </c>
    </row>
    <row r="506" spans="1:21" x14ac:dyDescent="0.2">
      <c r="A506" s="186" t="s">
        <v>150</v>
      </c>
      <c r="B506" s="128">
        <f t="shared" si="55"/>
        <v>25</v>
      </c>
      <c r="C506" s="128" t="s">
        <v>713</v>
      </c>
      <c r="D506" s="128" t="s">
        <v>317</v>
      </c>
      <c r="E506" s="127">
        <v>500</v>
      </c>
      <c r="F506" s="127">
        <v>97084112</v>
      </c>
      <c r="G506" s="127" t="s">
        <v>1643</v>
      </c>
      <c r="H506" s="187"/>
      <c r="I506" s="187"/>
      <c r="P506" t="str">
        <f t="shared" si="56"/>
        <v>VENEUX25</v>
      </c>
      <c r="Q506" t="str">
        <f t="shared" si="51"/>
        <v>COSSON</v>
      </c>
      <c r="R506" t="str">
        <f t="shared" si="52"/>
        <v>Thomas</v>
      </c>
      <c r="S506">
        <f t="shared" si="53"/>
        <v>500</v>
      </c>
      <c r="T506">
        <f t="shared" si="54"/>
        <v>97084112</v>
      </c>
      <c r="U506" t="s">
        <v>730</v>
      </c>
    </row>
    <row r="507" spans="1:21" x14ac:dyDescent="0.2">
      <c r="A507" s="186" t="s">
        <v>150</v>
      </c>
      <c r="B507" s="128">
        <f t="shared" si="55"/>
        <v>26</v>
      </c>
      <c r="C507" s="128" t="s">
        <v>713</v>
      </c>
      <c r="D507" s="128" t="s">
        <v>1094</v>
      </c>
      <c r="E507" s="127">
        <v>500</v>
      </c>
      <c r="F507" s="127">
        <v>97101743</v>
      </c>
      <c r="G507" s="127" t="s">
        <v>1643</v>
      </c>
      <c r="H507" s="187"/>
      <c r="I507" s="187"/>
      <c r="P507" t="str">
        <f t="shared" si="56"/>
        <v>VENEUX26</v>
      </c>
      <c r="Q507" t="str">
        <f t="shared" si="51"/>
        <v>COSSON</v>
      </c>
      <c r="R507" t="str">
        <f t="shared" si="52"/>
        <v>Valérie</v>
      </c>
      <c r="S507">
        <f t="shared" si="53"/>
        <v>500</v>
      </c>
      <c r="T507">
        <f t="shared" si="54"/>
        <v>97101743</v>
      </c>
      <c r="U507" t="s">
        <v>1119</v>
      </c>
    </row>
    <row r="508" spans="1:21" x14ac:dyDescent="0.2">
      <c r="A508" s="186" t="s">
        <v>150</v>
      </c>
      <c r="B508" s="128">
        <f t="shared" si="55"/>
        <v>27</v>
      </c>
      <c r="C508" s="128" t="s">
        <v>1250</v>
      </c>
      <c r="D508" s="128" t="s">
        <v>1338</v>
      </c>
      <c r="E508" s="127">
        <v>500</v>
      </c>
      <c r="F508" s="127">
        <v>97057320</v>
      </c>
      <c r="G508" s="127" t="s">
        <v>1643</v>
      </c>
      <c r="H508" s="187"/>
      <c r="I508" s="187"/>
      <c r="P508" t="str">
        <f t="shared" si="56"/>
        <v>VENEUX27</v>
      </c>
      <c r="Q508" t="str">
        <f t="shared" si="51"/>
        <v>CROCHARD</v>
      </c>
      <c r="R508" t="str">
        <f t="shared" si="52"/>
        <v>Eliot</v>
      </c>
      <c r="S508">
        <f t="shared" si="53"/>
        <v>500</v>
      </c>
      <c r="T508">
        <f t="shared" si="54"/>
        <v>97057320</v>
      </c>
      <c r="U508" t="s">
        <v>1483</v>
      </c>
    </row>
    <row r="509" spans="1:21" x14ac:dyDescent="0.2">
      <c r="A509" s="186" t="s">
        <v>150</v>
      </c>
      <c r="B509" s="128">
        <f t="shared" si="55"/>
        <v>28</v>
      </c>
      <c r="C509" s="128" t="s">
        <v>1250</v>
      </c>
      <c r="D509" s="128" t="s">
        <v>353</v>
      </c>
      <c r="E509" s="127">
        <v>500</v>
      </c>
      <c r="F509" s="127">
        <v>97076840</v>
      </c>
      <c r="G509" s="127" t="s">
        <v>1643</v>
      </c>
      <c r="H509" s="187"/>
      <c r="I509" s="187"/>
      <c r="P509" t="str">
        <f t="shared" si="56"/>
        <v>VENEUX28</v>
      </c>
      <c r="Q509" t="str">
        <f t="shared" si="51"/>
        <v>CROCHARD</v>
      </c>
      <c r="R509" t="str">
        <f t="shared" si="52"/>
        <v>Tristan</v>
      </c>
      <c r="S509">
        <f t="shared" si="53"/>
        <v>500</v>
      </c>
      <c r="T509">
        <f t="shared" si="54"/>
        <v>97076840</v>
      </c>
      <c r="U509" t="s">
        <v>1494</v>
      </c>
    </row>
    <row r="510" spans="1:21" x14ac:dyDescent="0.2">
      <c r="A510" s="186" t="s">
        <v>150</v>
      </c>
      <c r="B510" s="128">
        <f t="shared" si="55"/>
        <v>29</v>
      </c>
      <c r="C510" s="128" t="s">
        <v>108</v>
      </c>
      <c r="D510" s="128" t="s">
        <v>298</v>
      </c>
      <c r="E510" s="127">
        <v>734</v>
      </c>
      <c r="F510" s="127">
        <v>87428684</v>
      </c>
      <c r="G510" s="127" t="s">
        <v>1643</v>
      </c>
      <c r="H510" s="187"/>
      <c r="I510" s="187"/>
      <c r="P510" t="str">
        <f t="shared" si="56"/>
        <v>VENEUX29</v>
      </c>
      <c r="Q510" t="str">
        <f t="shared" si="51"/>
        <v>CROIZE</v>
      </c>
      <c r="R510" t="str">
        <f t="shared" si="52"/>
        <v>Christian</v>
      </c>
      <c r="S510">
        <f t="shared" si="53"/>
        <v>734</v>
      </c>
      <c r="T510">
        <f t="shared" si="54"/>
        <v>87428684</v>
      </c>
      <c r="U510" t="s">
        <v>224</v>
      </c>
    </row>
    <row r="511" spans="1:21" x14ac:dyDescent="0.2">
      <c r="A511" s="186" t="s">
        <v>150</v>
      </c>
      <c r="B511" s="128">
        <f t="shared" si="55"/>
        <v>30</v>
      </c>
      <c r="C511" s="128" t="s">
        <v>798</v>
      </c>
      <c r="D511" s="128" t="s">
        <v>804</v>
      </c>
      <c r="E511" s="127">
        <v>500</v>
      </c>
      <c r="F511" s="127">
        <v>97090232</v>
      </c>
      <c r="G511" s="127" t="s">
        <v>1643</v>
      </c>
      <c r="H511" s="187"/>
      <c r="I511" s="187"/>
      <c r="P511" t="str">
        <f t="shared" si="56"/>
        <v>VENEUX30</v>
      </c>
      <c r="Q511" t="str">
        <f t="shared" si="51"/>
        <v>CSICSO</v>
      </c>
      <c r="R511" t="str">
        <f t="shared" si="52"/>
        <v>Stephan</v>
      </c>
      <c r="S511">
        <f t="shared" si="53"/>
        <v>500</v>
      </c>
      <c r="T511">
        <f t="shared" si="54"/>
        <v>97090232</v>
      </c>
      <c r="U511" t="s">
        <v>812</v>
      </c>
    </row>
    <row r="512" spans="1:21" x14ac:dyDescent="0.2">
      <c r="A512" s="186" t="s">
        <v>150</v>
      </c>
      <c r="B512" s="128">
        <f t="shared" si="55"/>
        <v>31</v>
      </c>
      <c r="C512" s="128" t="s">
        <v>750</v>
      </c>
      <c r="D512" s="128" t="s">
        <v>319</v>
      </c>
      <c r="E512" s="127">
        <v>680</v>
      </c>
      <c r="F512" s="127">
        <v>55323663</v>
      </c>
      <c r="G512" s="127" t="s">
        <v>1643</v>
      </c>
      <c r="H512" s="187"/>
      <c r="I512" s="187"/>
      <c r="P512" t="str">
        <f t="shared" si="56"/>
        <v>VENEUX31</v>
      </c>
      <c r="Q512" t="str">
        <f t="shared" si="51"/>
        <v>DE SMET</v>
      </c>
      <c r="R512" t="str">
        <f t="shared" si="52"/>
        <v>Didier</v>
      </c>
      <c r="S512">
        <f t="shared" si="53"/>
        <v>680</v>
      </c>
      <c r="T512">
        <f t="shared" si="54"/>
        <v>55323663</v>
      </c>
      <c r="U512" t="s">
        <v>789</v>
      </c>
    </row>
    <row r="513" spans="1:21" x14ac:dyDescent="0.2">
      <c r="A513" s="186" t="s">
        <v>150</v>
      </c>
      <c r="B513" s="128">
        <f t="shared" si="55"/>
        <v>32</v>
      </c>
      <c r="C513" s="128" t="s">
        <v>1056</v>
      </c>
      <c r="D513" s="128" t="s">
        <v>1057</v>
      </c>
      <c r="E513" s="127">
        <v>535</v>
      </c>
      <c r="F513" s="127">
        <v>97075704</v>
      </c>
      <c r="G513" s="127" t="s">
        <v>1643</v>
      </c>
      <c r="H513" s="187"/>
      <c r="I513" s="187"/>
      <c r="P513" t="str">
        <f t="shared" si="56"/>
        <v>VENEUX32</v>
      </c>
      <c r="Q513" t="str">
        <f t="shared" si="51"/>
        <v>DEMANGE</v>
      </c>
      <c r="R513" t="str">
        <f t="shared" si="52"/>
        <v>Clovis</v>
      </c>
      <c r="S513">
        <f t="shared" si="53"/>
        <v>535</v>
      </c>
      <c r="T513">
        <f t="shared" si="54"/>
        <v>97075704</v>
      </c>
      <c r="U513" t="s">
        <v>1058</v>
      </c>
    </row>
    <row r="514" spans="1:21" x14ac:dyDescent="0.2">
      <c r="A514" s="186" t="s">
        <v>150</v>
      </c>
      <c r="B514" s="128">
        <f t="shared" si="55"/>
        <v>33</v>
      </c>
      <c r="C514" s="128" t="s">
        <v>634</v>
      </c>
      <c r="D514" s="128" t="s">
        <v>448</v>
      </c>
      <c r="E514" s="127">
        <v>744</v>
      </c>
      <c r="F514" s="127">
        <v>97082051</v>
      </c>
      <c r="G514" s="127" t="s">
        <v>1643</v>
      </c>
      <c r="H514" s="187"/>
      <c r="I514" s="187"/>
      <c r="P514" t="str">
        <f t="shared" si="56"/>
        <v>VENEUX33</v>
      </c>
      <c r="Q514" t="str">
        <f t="shared" si="51"/>
        <v>DERISBOURG</v>
      </c>
      <c r="R514" t="str">
        <f t="shared" si="52"/>
        <v>Stéphane</v>
      </c>
      <c r="S514">
        <f t="shared" si="53"/>
        <v>744</v>
      </c>
      <c r="T514">
        <f t="shared" si="54"/>
        <v>97082051</v>
      </c>
      <c r="U514" t="s">
        <v>644</v>
      </c>
    </row>
    <row r="515" spans="1:21" x14ac:dyDescent="0.2">
      <c r="A515" s="186" t="s">
        <v>150</v>
      </c>
      <c r="B515" s="128">
        <f t="shared" si="55"/>
        <v>34</v>
      </c>
      <c r="C515" s="128" t="s">
        <v>751</v>
      </c>
      <c r="D515" s="128" t="s">
        <v>769</v>
      </c>
      <c r="E515" s="127">
        <v>561</v>
      </c>
      <c r="F515" s="127">
        <v>97086141</v>
      </c>
      <c r="G515" s="127" t="s">
        <v>1643</v>
      </c>
      <c r="H515" s="187"/>
      <c r="I515" s="187"/>
      <c r="P515" t="str">
        <f t="shared" si="56"/>
        <v>VENEUX34</v>
      </c>
      <c r="Q515" t="str">
        <f t="shared" si="51"/>
        <v>DESASSIS</v>
      </c>
      <c r="R515" t="str">
        <f t="shared" si="52"/>
        <v>Noé</v>
      </c>
      <c r="S515">
        <f t="shared" si="53"/>
        <v>561</v>
      </c>
      <c r="T515">
        <f t="shared" si="54"/>
        <v>97086141</v>
      </c>
      <c r="U515" t="s">
        <v>790</v>
      </c>
    </row>
    <row r="516" spans="1:21" x14ac:dyDescent="0.2">
      <c r="A516" s="186" t="s">
        <v>150</v>
      </c>
      <c r="B516" s="128">
        <f t="shared" si="55"/>
        <v>35</v>
      </c>
      <c r="C516" s="128" t="s">
        <v>651</v>
      </c>
      <c r="D516" s="128" t="s">
        <v>860</v>
      </c>
      <c r="E516" s="127">
        <v>1116</v>
      </c>
      <c r="F516" s="127">
        <v>97082445</v>
      </c>
      <c r="G516" s="127" t="s">
        <v>1643</v>
      </c>
      <c r="H516" s="187"/>
      <c r="I516" s="187"/>
      <c r="P516" t="str">
        <f t="shared" si="56"/>
        <v>VENEUX35</v>
      </c>
      <c r="Q516" t="str">
        <f t="shared" si="51"/>
        <v>DONNOT</v>
      </c>
      <c r="R516" t="str">
        <f t="shared" si="52"/>
        <v>Benoit</v>
      </c>
      <c r="S516">
        <f t="shared" si="53"/>
        <v>1116</v>
      </c>
      <c r="T516">
        <f t="shared" si="54"/>
        <v>97082445</v>
      </c>
      <c r="U516" t="s">
        <v>663</v>
      </c>
    </row>
    <row r="517" spans="1:21" x14ac:dyDescent="0.2">
      <c r="A517" s="186" t="s">
        <v>150</v>
      </c>
      <c r="B517" s="128">
        <f t="shared" si="55"/>
        <v>36</v>
      </c>
      <c r="C517" s="128" t="s">
        <v>651</v>
      </c>
      <c r="D517" s="128" t="s">
        <v>1941</v>
      </c>
      <c r="E517" s="127">
        <v>500</v>
      </c>
      <c r="F517" s="127">
        <v>97111599</v>
      </c>
      <c r="G517" s="127" t="s">
        <v>1643</v>
      </c>
      <c r="H517" s="187"/>
      <c r="I517" s="187"/>
      <c r="P517" t="str">
        <f t="shared" si="56"/>
        <v>VENEUX36</v>
      </c>
      <c r="Q517" t="str">
        <f t="shared" si="51"/>
        <v>DONNOT</v>
      </c>
      <c r="R517" t="str">
        <f t="shared" si="52"/>
        <v>Véronique</v>
      </c>
      <c r="S517">
        <f t="shared" si="53"/>
        <v>500</v>
      </c>
      <c r="T517">
        <f t="shared" si="54"/>
        <v>97111599</v>
      </c>
      <c r="U517" t="s">
        <v>1991</v>
      </c>
    </row>
    <row r="518" spans="1:21" x14ac:dyDescent="0.2">
      <c r="A518" s="186" t="s">
        <v>150</v>
      </c>
      <c r="B518" s="128">
        <f t="shared" si="55"/>
        <v>37</v>
      </c>
      <c r="C518" s="128" t="s">
        <v>1538</v>
      </c>
      <c r="D518" s="128" t="s">
        <v>1556</v>
      </c>
      <c r="E518" s="127">
        <v>500</v>
      </c>
      <c r="F518" s="127">
        <v>97106826</v>
      </c>
      <c r="G518" s="127" t="s">
        <v>1643</v>
      </c>
      <c r="H518" s="187"/>
      <c r="I518" s="187"/>
      <c r="P518" t="str">
        <f t="shared" si="56"/>
        <v>VENEUX37</v>
      </c>
      <c r="Q518" t="str">
        <f t="shared" si="51"/>
        <v>DUBOIS</v>
      </c>
      <c r="R518" t="str">
        <f t="shared" si="52"/>
        <v>Yan</v>
      </c>
      <c r="S518">
        <f t="shared" si="53"/>
        <v>500</v>
      </c>
      <c r="T518">
        <f t="shared" si="54"/>
        <v>97106826</v>
      </c>
      <c r="U518" t="s">
        <v>1580</v>
      </c>
    </row>
    <row r="519" spans="1:21" x14ac:dyDescent="0.2">
      <c r="A519" s="186" t="s">
        <v>150</v>
      </c>
      <c r="B519" s="128">
        <f t="shared" si="55"/>
        <v>38</v>
      </c>
      <c r="C519" s="128" t="s">
        <v>1540</v>
      </c>
      <c r="D519" s="128" t="s">
        <v>1558</v>
      </c>
      <c r="E519" s="127">
        <v>500</v>
      </c>
      <c r="F519" s="127">
        <v>97064376</v>
      </c>
      <c r="G519" s="127" t="s">
        <v>1643</v>
      </c>
      <c r="H519" s="187"/>
      <c r="I519" s="187"/>
      <c r="P519" t="str">
        <f t="shared" si="56"/>
        <v>VENEUX38</v>
      </c>
      <c r="Q519" t="str">
        <f t="shared" si="51"/>
        <v>DUDICOURT</v>
      </c>
      <c r="R519" t="str">
        <f t="shared" si="52"/>
        <v>Corentin</v>
      </c>
      <c r="S519">
        <f t="shared" si="53"/>
        <v>500</v>
      </c>
      <c r="T519">
        <f t="shared" si="54"/>
        <v>97064376</v>
      </c>
      <c r="U519" t="s">
        <v>1584</v>
      </c>
    </row>
    <row r="520" spans="1:21" x14ac:dyDescent="0.2">
      <c r="A520" s="186" t="s">
        <v>150</v>
      </c>
      <c r="B520" s="128">
        <f t="shared" si="55"/>
        <v>39</v>
      </c>
      <c r="C520" s="128" t="s">
        <v>2057</v>
      </c>
      <c r="D520" s="128" t="s">
        <v>2058</v>
      </c>
      <c r="E520" s="127">
        <v>500</v>
      </c>
      <c r="F520" s="127">
        <v>97072349</v>
      </c>
      <c r="G520" s="127" t="s">
        <v>1643</v>
      </c>
      <c r="H520" s="187"/>
      <c r="I520" s="187"/>
      <c r="P520" t="str">
        <f t="shared" si="56"/>
        <v>VENEUX39</v>
      </c>
      <c r="Q520" t="str">
        <f t="shared" si="51"/>
        <v>ECARNOT</v>
      </c>
      <c r="R520" t="str">
        <f t="shared" si="52"/>
        <v>Stanislas</v>
      </c>
      <c r="S520">
        <f t="shared" si="53"/>
        <v>500</v>
      </c>
      <c r="T520">
        <f t="shared" si="54"/>
        <v>97072349</v>
      </c>
      <c r="U520" t="s">
        <v>2060</v>
      </c>
    </row>
    <row r="521" spans="1:21" x14ac:dyDescent="0.2">
      <c r="A521" s="186" t="s">
        <v>150</v>
      </c>
      <c r="B521" s="128">
        <f t="shared" si="55"/>
        <v>40</v>
      </c>
      <c r="C521" s="128" t="s">
        <v>112</v>
      </c>
      <c r="D521" s="128" t="s">
        <v>357</v>
      </c>
      <c r="E521" s="127">
        <v>500</v>
      </c>
      <c r="F521" s="127">
        <v>87462253</v>
      </c>
      <c r="G521" s="127" t="s">
        <v>1643</v>
      </c>
      <c r="H521" s="187"/>
      <c r="I521" s="187"/>
      <c r="P521" t="str">
        <f t="shared" si="56"/>
        <v>VENEUX40</v>
      </c>
      <c r="Q521" t="str">
        <f t="shared" ref="Q521:Q585" si="57">C521</f>
        <v>FERMI</v>
      </c>
      <c r="R521" t="str">
        <f t="shared" ref="R521:R585" si="58">D521</f>
        <v>Jean-Pierre</v>
      </c>
      <c r="S521">
        <f t="shared" ref="S521:S585" si="59">E521</f>
        <v>500</v>
      </c>
      <c r="T521">
        <f t="shared" ref="T521:T585" si="60">F521</f>
        <v>87462253</v>
      </c>
      <c r="U521" t="s">
        <v>540</v>
      </c>
    </row>
    <row r="522" spans="1:21" x14ac:dyDescent="0.2">
      <c r="A522" s="186" t="s">
        <v>150</v>
      </c>
      <c r="B522" s="128">
        <f t="shared" si="55"/>
        <v>41</v>
      </c>
      <c r="C522" s="128" t="s">
        <v>1249</v>
      </c>
      <c r="D522" s="128" t="s">
        <v>321</v>
      </c>
      <c r="E522" s="127">
        <v>500</v>
      </c>
      <c r="F522" s="127">
        <v>97102254</v>
      </c>
      <c r="G522" s="127" t="s">
        <v>1856</v>
      </c>
      <c r="H522" s="187"/>
      <c r="I522" s="187"/>
      <c r="P522" t="str">
        <f t="shared" si="56"/>
        <v>VENEUX41</v>
      </c>
      <c r="Q522" t="str">
        <f t="shared" si="57"/>
        <v>FORESTAL</v>
      </c>
      <c r="R522" t="str">
        <f t="shared" si="58"/>
        <v>Jean</v>
      </c>
      <c r="S522">
        <f t="shared" si="59"/>
        <v>500</v>
      </c>
      <c r="T522">
        <f t="shared" si="60"/>
        <v>97102254</v>
      </c>
      <c r="U522" t="s">
        <v>1481</v>
      </c>
    </row>
    <row r="523" spans="1:21" x14ac:dyDescent="0.2">
      <c r="A523" s="186" t="s">
        <v>150</v>
      </c>
      <c r="B523" s="128">
        <f t="shared" si="55"/>
        <v>42</v>
      </c>
      <c r="C523" s="128" t="s">
        <v>795</v>
      </c>
      <c r="D523" s="128" t="s">
        <v>800</v>
      </c>
      <c r="E523" s="127">
        <v>737</v>
      </c>
      <c r="F523" s="127">
        <v>55363505</v>
      </c>
      <c r="G523" s="127" t="s">
        <v>1856</v>
      </c>
      <c r="H523" s="187"/>
      <c r="I523" s="187"/>
      <c r="P523" t="str">
        <f t="shared" si="56"/>
        <v>VENEUX42</v>
      </c>
      <c r="Q523" t="str">
        <f t="shared" si="57"/>
        <v>FRANCOIS</v>
      </c>
      <c r="R523" t="str">
        <f t="shared" si="58"/>
        <v>Erwann</v>
      </c>
      <c r="S523">
        <f t="shared" si="59"/>
        <v>737</v>
      </c>
      <c r="T523">
        <f t="shared" si="60"/>
        <v>55363505</v>
      </c>
      <c r="U523" t="s">
        <v>808</v>
      </c>
    </row>
    <row r="524" spans="1:21" x14ac:dyDescent="0.2">
      <c r="A524" s="186" t="s">
        <v>150</v>
      </c>
      <c r="B524" s="128">
        <f t="shared" si="55"/>
        <v>43</v>
      </c>
      <c r="C524" s="128" t="s">
        <v>939</v>
      </c>
      <c r="D524" s="128" t="s">
        <v>868</v>
      </c>
      <c r="E524" s="127">
        <v>500</v>
      </c>
      <c r="F524" s="127">
        <v>87468547</v>
      </c>
      <c r="G524" s="127" t="s">
        <v>1643</v>
      </c>
      <c r="H524" s="187"/>
      <c r="I524" s="187"/>
      <c r="P524" t="str">
        <f t="shared" si="56"/>
        <v>VENEUX43</v>
      </c>
      <c r="Q524" t="str">
        <f t="shared" si="57"/>
        <v>FREIDEL</v>
      </c>
      <c r="R524" t="str">
        <f t="shared" si="58"/>
        <v>Andreï</v>
      </c>
      <c r="S524">
        <f t="shared" si="59"/>
        <v>500</v>
      </c>
      <c r="T524">
        <f t="shared" si="60"/>
        <v>87468547</v>
      </c>
      <c r="U524" t="s">
        <v>968</v>
      </c>
    </row>
    <row r="525" spans="1:21" x14ac:dyDescent="0.2">
      <c r="A525" s="186" t="s">
        <v>150</v>
      </c>
      <c r="B525" s="128">
        <f t="shared" si="55"/>
        <v>44</v>
      </c>
      <c r="C525" s="128" t="s">
        <v>1949</v>
      </c>
      <c r="D525" s="128" t="s">
        <v>1950</v>
      </c>
      <c r="E525" s="127">
        <v>500</v>
      </c>
      <c r="F525" s="127">
        <v>97111600</v>
      </c>
      <c r="G525" s="127" t="s">
        <v>1643</v>
      </c>
      <c r="H525" s="187"/>
      <c r="I525" s="187"/>
      <c r="P525" t="str">
        <f t="shared" si="56"/>
        <v>VENEUX44</v>
      </c>
      <c r="Q525" t="str">
        <f t="shared" si="57"/>
        <v>GAULE</v>
      </c>
      <c r="R525" t="str">
        <f t="shared" si="58"/>
        <v>Patrick</v>
      </c>
      <c r="S525">
        <f t="shared" si="59"/>
        <v>500</v>
      </c>
      <c r="T525">
        <f t="shared" si="60"/>
        <v>97111600</v>
      </c>
      <c r="U525" t="s">
        <v>1992</v>
      </c>
    </row>
    <row r="526" spans="1:21" x14ac:dyDescent="0.2">
      <c r="A526" s="186" t="s">
        <v>150</v>
      </c>
      <c r="B526" s="128">
        <f t="shared" si="55"/>
        <v>45</v>
      </c>
      <c r="C526" s="128" t="s">
        <v>595</v>
      </c>
      <c r="D526" s="128" t="s">
        <v>600</v>
      </c>
      <c r="E526" s="127">
        <v>500</v>
      </c>
      <c r="F526" s="127">
        <v>87457280</v>
      </c>
      <c r="G526" s="127" t="s">
        <v>1856</v>
      </c>
      <c r="H526" s="187"/>
      <c r="I526" s="187"/>
      <c r="P526" t="str">
        <f t="shared" si="56"/>
        <v>VENEUX45</v>
      </c>
      <c r="Q526" t="str">
        <f t="shared" si="57"/>
        <v>GIBLIN</v>
      </c>
      <c r="R526" t="str">
        <f t="shared" si="58"/>
        <v>Djulian</v>
      </c>
      <c r="S526">
        <f t="shared" si="59"/>
        <v>500</v>
      </c>
      <c r="T526">
        <f t="shared" si="60"/>
        <v>87457280</v>
      </c>
      <c r="U526" t="s">
        <v>605</v>
      </c>
    </row>
    <row r="527" spans="1:21" x14ac:dyDescent="0.2">
      <c r="A527" s="186" t="s">
        <v>150</v>
      </c>
      <c r="B527" s="128">
        <f t="shared" si="55"/>
        <v>46</v>
      </c>
      <c r="C527" s="128" t="s">
        <v>1256</v>
      </c>
      <c r="D527" s="128" t="s">
        <v>1341</v>
      </c>
      <c r="E527" s="127">
        <v>500</v>
      </c>
      <c r="F527" s="127">
        <v>97104956</v>
      </c>
      <c r="G527" s="127" t="s">
        <v>1856</v>
      </c>
      <c r="H527" s="187"/>
      <c r="I527" s="187"/>
      <c r="P527" t="str">
        <f t="shared" si="56"/>
        <v>VENEUX46</v>
      </c>
      <c r="Q527" t="str">
        <f t="shared" si="57"/>
        <v>GIL--FARENC</v>
      </c>
      <c r="R527" t="str">
        <f t="shared" si="58"/>
        <v>Guilhem</v>
      </c>
      <c r="S527">
        <f t="shared" si="59"/>
        <v>500</v>
      </c>
      <c r="T527">
        <f t="shared" si="60"/>
        <v>97104956</v>
      </c>
      <c r="U527" t="s">
        <v>1490</v>
      </c>
    </row>
    <row r="528" spans="1:21" x14ac:dyDescent="0.2">
      <c r="A528" s="186" t="s">
        <v>150</v>
      </c>
      <c r="B528" s="128">
        <f t="shared" si="55"/>
        <v>47</v>
      </c>
      <c r="C528" s="128" t="s">
        <v>1252</v>
      </c>
      <c r="D528" s="128" t="s">
        <v>297</v>
      </c>
      <c r="E528" s="127">
        <v>524</v>
      </c>
      <c r="F528" s="127">
        <v>97103025</v>
      </c>
      <c r="G528" s="127" t="s">
        <v>1643</v>
      </c>
      <c r="H528" s="187"/>
      <c r="I528" s="187"/>
      <c r="P528" t="str">
        <f t="shared" si="56"/>
        <v>VENEUX47</v>
      </c>
      <c r="Q528" t="str">
        <f t="shared" si="57"/>
        <v>GIRSCH</v>
      </c>
      <c r="R528" t="str">
        <f t="shared" si="58"/>
        <v>Nicolas</v>
      </c>
      <c r="S528">
        <f t="shared" si="59"/>
        <v>524</v>
      </c>
      <c r="T528">
        <f t="shared" si="60"/>
        <v>97103025</v>
      </c>
      <c r="U528" t="s">
        <v>1486</v>
      </c>
    </row>
    <row r="529" spans="1:21" x14ac:dyDescent="0.2">
      <c r="A529" s="186" t="s">
        <v>150</v>
      </c>
      <c r="B529" s="128">
        <f t="shared" si="55"/>
        <v>48</v>
      </c>
      <c r="C529" s="128" t="s">
        <v>752</v>
      </c>
      <c r="D529" s="128" t="s">
        <v>766</v>
      </c>
      <c r="E529" s="127">
        <v>500</v>
      </c>
      <c r="F529" s="127">
        <v>87421349</v>
      </c>
      <c r="G529" s="127" t="s">
        <v>1643</v>
      </c>
      <c r="H529" s="187"/>
      <c r="I529" s="187"/>
      <c r="P529" t="str">
        <f t="shared" si="56"/>
        <v>VENEUX48</v>
      </c>
      <c r="Q529" t="str">
        <f t="shared" si="57"/>
        <v>GONCALVES</v>
      </c>
      <c r="R529" t="str">
        <f t="shared" si="58"/>
        <v>Hector</v>
      </c>
      <c r="S529">
        <f t="shared" si="59"/>
        <v>500</v>
      </c>
      <c r="T529">
        <f t="shared" si="60"/>
        <v>87421349</v>
      </c>
      <c r="U529" t="s">
        <v>784</v>
      </c>
    </row>
    <row r="530" spans="1:21" x14ac:dyDescent="0.2">
      <c r="A530" s="186" t="s">
        <v>150</v>
      </c>
      <c r="B530" s="128">
        <f t="shared" si="55"/>
        <v>49</v>
      </c>
      <c r="C530" s="128" t="s">
        <v>1939</v>
      </c>
      <c r="D530" s="128" t="s">
        <v>1940</v>
      </c>
      <c r="E530" s="127">
        <v>500</v>
      </c>
      <c r="F530" s="127">
        <v>87466968</v>
      </c>
      <c r="G530" s="127" t="s">
        <v>1643</v>
      </c>
      <c r="H530" s="187"/>
      <c r="I530" s="187"/>
      <c r="P530" t="str">
        <f t="shared" si="56"/>
        <v>VENEUX49</v>
      </c>
      <c r="Q530" t="str">
        <f t="shared" si="57"/>
        <v>GORON</v>
      </c>
      <c r="R530" t="str">
        <f t="shared" si="58"/>
        <v>Gaetan</v>
      </c>
      <c r="S530">
        <f t="shared" si="59"/>
        <v>500</v>
      </c>
      <c r="T530">
        <f t="shared" si="60"/>
        <v>87466968</v>
      </c>
      <c r="U530" t="s">
        <v>1993</v>
      </c>
    </row>
    <row r="531" spans="1:21" x14ac:dyDescent="0.2">
      <c r="A531" s="186" t="s">
        <v>150</v>
      </c>
      <c r="B531" s="128">
        <f t="shared" si="55"/>
        <v>50</v>
      </c>
      <c r="C531" s="128" t="s">
        <v>635</v>
      </c>
      <c r="D531" s="128" t="s">
        <v>293</v>
      </c>
      <c r="E531" s="127">
        <v>500</v>
      </c>
      <c r="F531" s="127">
        <v>97083874</v>
      </c>
      <c r="G531" s="127" t="s">
        <v>1856</v>
      </c>
      <c r="H531" s="187"/>
      <c r="I531" s="187"/>
      <c r="P531" t="str">
        <f t="shared" si="56"/>
        <v>VENEUX50</v>
      </c>
      <c r="Q531" t="str">
        <f t="shared" si="57"/>
        <v>GRAUER</v>
      </c>
      <c r="R531" t="str">
        <f t="shared" si="58"/>
        <v>Christophe</v>
      </c>
      <c r="S531">
        <f t="shared" si="59"/>
        <v>500</v>
      </c>
      <c r="T531">
        <f t="shared" si="60"/>
        <v>97083874</v>
      </c>
      <c r="U531" t="s">
        <v>674</v>
      </c>
    </row>
    <row r="532" spans="1:21" x14ac:dyDescent="0.2">
      <c r="A532" s="186" t="s">
        <v>150</v>
      </c>
      <c r="B532" s="128">
        <f t="shared" si="55"/>
        <v>51</v>
      </c>
      <c r="C532" s="128" t="s">
        <v>635</v>
      </c>
      <c r="D532" s="128" t="s">
        <v>576</v>
      </c>
      <c r="E532" s="127">
        <v>500</v>
      </c>
      <c r="F532" s="127">
        <v>97076843</v>
      </c>
      <c r="G532" s="127" t="s">
        <v>1643</v>
      </c>
      <c r="H532" s="187"/>
      <c r="I532" s="187"/>
      <c r="P532" t="str">
        <f t="shared" si="56"/>
        <v>VENEUX51</v>
      </c>
      <c r="Q532" t="str">
        <f t="shared" si="57"/>
        <v>GRAUER</v>
      </c>
      <c r="R532" t="str">
        <f t="shared" si="58"/>
        <v>Liam</v>
      </c>
      <c r="S532">
        <f t="shared" si="59"/>
        <v>500</v>
      </c>
      <c r="T532">
        <f t="shared" si="60"/>
        <v>97076843</v>
      </c>
      <c r="U532" t="s">
        <v>731</v>
      </c>
    </row>
    <row r="533" spans="1:21" x14ac:dyDescent="0.2">
      <c r="A533" s="186" t="s">
        <v>150</v>
      </c>
      <c r="B533" s="128">
        <f t="shared" si="55"/>
        <v>52</v>
      </c>
      <c r="C533" s="128" t="s">
        <v>635</v>
      </c>
      <c r="D533" s="128" t="s">
        <v>585</v>
      </c>
      <c r="E533" s="127">
        <v>500</v>
      </c>
      <c r="F533" s="127">
        <v>97067437</v>
      </c>
      <c r="G533" s="127" t="s">
        <v>1643</v>
      </c>
      <c r="H533" s="187"/>
      <c r="I533" s="187"/>
      <c r="P533" t="str">
        <f t="shared" si="56"/>
        <v>VENEUX52</v>
      </c>
      <c r="Q533" t="str">
        <f t="shared" si="57"/>
        <v>GRAUER</v>
      </c>
      <c r="R533" t="str">
        <f t="shared" si="58"/>
        <v>Sacha</v>
      </c>
      <c r="S533">
        <f t="shared" si="59"/>
        <v>500</v>
      </c>
      <c r="T533">
        <f t="shared" si="60"/>
        <v>97067437</v>
      </c>
      <c r="U533" t="s">
        <v>645</v>
      </c>
    </row>
    <row r="534" spans="1:21" x14ac:dyDescent="0.2">
      <c r="A534" s="186" t="s">
        <v>150</v>
      </c>
      <c r="B534" s="128">
        <f t="shared" si="55"/>
        <v>53</v>
      </c>
      <c r="C534" s="128" t="s">
        <v>1929</v>
      </c>
      <c r="D534" s="128" t="s">
        <v>1930</v>
      </c>
      <c r="E534" s="127">
        <v>500</v>
      </c>
      <c r="F534" s="127">
        <v>97076844</v>
      </c>
      <c r="G534" s="127" t="s">
        <v>1643</v>
      </c>
      <c r="H534" s="187"/>
      <c r="I534" s="187"/>
      <c r="P534" t="str">
        <f t="shared" si="56"/>
        <v>VENEUX53</v>
      </c>
      <c r="Q534" t="str">
        <f t="shared" si="57"/>
        <v>GROSJEAN</v>
      </c>
      <c r="R534" t="str">
        <f t="shared" si="58"/>
        <v>Lino</v>
      </c>
      <c r="S534">
        <f t="shared" si="59"/>
        <v>500</v>
      </c>
      <c r="T534">
        <f t="shared" si="60"/>
        <v>97076844</v>
      </c>
      <c r="U534" t="s">
        <v>1994</v>
      </c>
    </row>
    <row r="535" spans="1:21" x14ac:dyDescent="0.2">
      <c r="A535" s="186" t="s">
        <v>150</v>
      </c>
      <c r="B535" s="128">
        <f t="shared" si="55"/>
        <v>54</v>
      </c>
      <c r="C535" s="128" t="s">
        <v>1929</v>
      </c>
      <c r="D535" s="128" t="s">
        <v>1931</v>
      </c>
      <c r="E535" s="127">
        <v>500</v>
      </c>
      <c r="F535" s="127">
        <v>97067438</v>
      </c>
      <c r="G535" s="127" t="s">
        <v>1643</v>
      </c>
      <c r="H535" s="187"/>
      <c r="I535" s="187"/>
      <c r="P535" t="str">
        <f t="shared" si="56"/>
        <v>VENEUX54</v>
      </c>
      <c r="Q535" t="str">
        <f t="shared" si="57"/>
        <v>GROSJEAN</v>
      </c>
      <c r="R535" t="str">
        <f t="shared" si="58"/>
        <v>Sohan</v>
      </c>
      <c r="S535">
        <f t="shared" si="59"/>
        <v>500</v>
      </c>
      <c r="T535">
        <f t="shared" si="60"/>
        <v>97067438</v>
      </c>
      <c r="U535" t="s">
        <v>1995</v>
      </c>
    </row>
    <row r="536" spans="1:21" x14ac:dyDescent="0.2">
      <c r="A536" s="186" t="s">
        <v>150</v>
      </c>
      <c r="B536" s="128">
        <f t="shared" si="55"/>
        <v>55</v>
      </c>
      <c r="C536" s="128" t="s">
        <v>1255</v>
      </c>
      <c r="D536" s="128" t="s">
        <v>575</v>
      </c>
      <c r="E536" s="127">
        <v>500</v>
      </c>
      <c r="F536" s="127">
        <v>97103365</v>
      </c>
      <c r="G536" s="127" t="s">
        <v>1643</v>
      </c>
      <c r="H536" s="187"/>
      <c r="I536" s="187"/>
      <c r="P536" t="str">
        <f t="shared" si="56"/>
        <v>VENEUX55</v>
      </c>
      <c r="Q536" t="str">
        <f t="shared" si="57"/>
        <v>GUEDJ</v>
      </c>
      <c r="R536" t="str">
        <f t="shared" si="58"/>
        <v>Louis</v>
      </c>
      <c r="S536">
        <f t="shared" si="59"/>
        <v>500</v>
      </c>
      <c r="T536">
        <f t="shared" si="60"/>
        <v>97103365</v>
      </c>
      <c r="U536" t="s">
        <v>1489</v>
      </c>
    </row>
    <row r="537" spans="1:21" x14ac:dyDescent="0.2">
      <c r="A537" s="186" t="s">
        <v>150</v>
      </c>
      <c r="B537" s="128">
        <f t="shared" si="55"/>
        <v>56</v>
      </c>
      <c r="C537" s="128" t="s">
        <v>106</v>
      </c>
      <c r="D537" s="128" t="s">
        <v>1557</v>
      </c>
      <c r="E537" s="127">
        <v>500</v>
      </c>
      <c r="F537" s="127">
        <v>87421271</v>
      </c>
      <c r="G537" s="127" t="s">
        <v>1856</v>
      </c>
      <c r="H537" s="187"/>
      <c r="I537" s="187"/>
      <c r="P537" t="str">
        <f t="shared" si="56"/>
        <v>VENEUX56</v>
      </c>
      <c r="Q537" t="str">
        <f t="shared" si="57"/>
        <v>GUEUTIN</v>
      </c>
      <c r="R537" t="str">
        <f t="shared" si="58"/>
        <v>Simon</v>
      </c>
      <c r="S537">
        <f t="shared" si="59"/>
        <v>500</v>
      </c>
      <c r="T537">
        <f t="shared" si="60"/>
        <v>87421271</v>
      </c>
      <c r="U537" t="s">
        <v>1581</v>
      </c>
    </row>
    <row r="538" spans="1:21" x14ac:dyDescent="0.2">
      <c r="A538" s="186" t="s">
        <v>150</v>
      </c>
      <c r="B538" s="128">
        <f t="shared" si="55"/>
        <v>57</v>
      </c>
      <c r="C538" s="128" t="s">
        <v>106</v>
      </c>
      <c r="D538" s="128" t="s">
        <v>309</v>
      </c>
      <c r="E538" s="127">
        <v>500</v>
      </c>
      <c r="F538" s="127">
        <v>87421350</v>
      </c>
      <c r="G538" s="127" t="s">
        <v>1643</v>
      </c>
      <c r="H538" s="187"/>
      <c r="I538" s="187"/>
      <c r="P538" t="str">
        <f t="shared" si="56"/>
        <v>VENEUX57</v>
      </c>
      <c r="Q538" t="str">
        <f t="shared" si="57"/>
        <v>GUEUTIN</v>
      </c>
      <c r="R538" t="str">
        <f t="shared" si="58"/>
        <v>Thierry</v>
      </c>
      <c r="S538">
        <f t="shared" si="59"/>
        <v>500</v>
      </c>
      <c r="T538">
        <f t="shared" si="60"/>
        <v>87421350</v>
      </c>
      <c r="U538" t="s">
        <v>541</v>
      </c>
    </row>
    <row r="539" spans="1:21" x14ac:dyDescent="0.2">
      <c r="A539" s="186" t="s">
        <v>150</v>
      </c>
      <c r="B539" s="128">
        <f t="shared" si="55"/>
        <v>58</v>
      </c>
      <c r="C539" s="128" t="s">
        <v>714</v>
      </c>
      <c r="D539" s="128" t="s">
        <v>721</v>
      </c>
      <c r="E539" s="127">
        <v>553</v>
      </c>
      <c r="F539" s="127">
        <v>87449636</v>
      </c>
      <c r="G539" s="127" t="s">
        <v>1643</v>
      </c>
      <c r="H539" s="187"/>
      <c r="I539" s="187"/>
      <c r="P539" t="str">
        <f t="shared" si="56"/>
        <v>VENEUX58</v>
      </c>
      <c r="Q539" t="str">
        <f t="shared" si="57"/>
        <v>GUILLERM</v>
      </c>
      <c r="R539" t="str">
        <f t="shared" si="58"/>
        <v>Charlie</v>
      </c>
      <c r="S539">
        <f t="shared" si="59"/>
        <v>553</v>
      </c>
      <c r="T539">
        <f t="shared" si="60"/>
        <v>87449636</v>
      </c>
      <c r="U539" t="s">
        <v>732</v>
      </c>
    </row>
    <row r="540" spans="1:21" x14ac:dyDescent="0.2">
      <c r="A540" s="186" t="s">
        <v>150</v>
      </c>
      <c r="B540" s="128">
        <f t="shared" si="55"/>
        <v>59</v>
      </c>
      <c r="C540" s="128" t="s">
        <v>714</v>
      </c>
      <c r="D540" s="128" t="s">
        <v>986</v>
      </c>
      <c r="E540" s="127">
        <v>500</v>
      </c>
      <c r="F540" s="127">
        <v>97083732</v>
      </c>
      <c r="G540" s="127" t="s">
        <v>1643</v>
      </c>
      <c r="H540" s="187"/>
      <c r="I540" s="187"/>
      <c r="P540" t="str">
        <f t="shared" si="56"/>
        <v>VENEUX59</v>
      </c>
      <c r="Q540" t="str">
        <f t="shared" si="57"/>
        <v>GUILLERM</v>
      </c>
      <c r="R540" t="str">
        <f t="shared" si="58"/>
        <v>Marius</v>
      </c>
      <c r="S540">
        <f t="shared" si="59"/>
        <v>500</v>
      </c>
      <c r="T540">
        <f t="shared" si="60"/>
        <v>97083732</v>
      </c>
      <c r="U540" t="s">
        <v>1484</v>
      </c>
    </row>
    <row r="541" spans="1:21" x14ac:dyDescent="0.2">
      <c r="A541" s="186" t="s">
        <v>150</v>
      </c>
      <c r="B541" s="128">
        <f t="shared" si="55"/>
        <v>60</v>
      </c>
      <c r="C541" s="128" t="s">
        <v>102</v>
      </c>
      <c r="D541" s="128" t="s">
        <v>310</v>
      </c>
      <c r="E541" s="127">
        <v>500</v>
      </c>
      <c r="F541" s="127">
        <v>47348016</v>
      </c>
      <c r="G541" s="127" t="s">
        <v>1643</v>
      </c>
      <c r="H541" s="187"/>
      <c r="I541" s="187"/>
      <c r="P541" t="str">
        <f t="shared" si="56"/>
        <v>VENEUX60</v>
      </c>
      <c r="Q541" t="str">
        <f t="shared" si="57"/>
        <v>GUILLIOMET</v>
      </c>
      <c r="R541" t="str">
        <f t="shared" si="58"/>
        <v>Alain</v>
      </c>
      <c r="S541">
        <f t="shared" si="59"/>
        <v>500</v>
      </c>
      <c r="T541">
        <f t="shared" si="60"/>
        <v>47348016</v>
      </c>
      <c r="U541" t="s">
        <v>542</v>
      </c>
    </row>
    <row r="542" spans="1:21" x14ac:dyDescent="0.2">
      <c r="A542" s="186" t="s">
        <v>150</v>
      </c>
      <c r="B542" s="128">
        <f t="shared" si="55"/>
        <v>61</v>
      </c>
      <c r="C542" s="128" t="s">
        <v>1541</v>
      </c>
      <c r="D542" s="128" t="s">
        <v>1559</v>
      </c>
      <c r="E542" s="127">
        <v>500</v>
      </c>
      <c r="F542" s="127">
        <v>97106827</v>
      </c>
      <c r="G542" s="127" t="s">
        <v>1856</v>
      </c>
      <c r="H542" s="187"/>
      <c r="I542" s="187"/>
      <c r="P542" t="str">
        <f t="shared" si="56"/>
        <v>VENEUX61</v>
      </c>
      <c r="Q542" t="str">
        <f t="shared" si="57"/>
        <v>HERNIO-SILVA</v>
      </c>
      <c r="R542" t="str">
        <f t="shared" si="58"/>
        <v>Maya</v>
      </c>
      <c r="S542">
        <f t="shared" si="59"/>
        <v>500</v>
      </c>
      <c r="T542">
        <f t="shared" si="60"/>
        <v>97106827</v>
      </c>
      <c r="U542" t="s">
        <v>1585</v>
      </c>
    </row>
    <row r="543" spans="1:21" x14ac:dyDescent="0.2">
      <c r="A543" s="186" t="s">
        <v>150</v>
      </c>
      <c r="B543" s="128">
        <f t="shared" si="55"/>
        <v>62</v>
      </c>
      <c r="C543" s="128" t="s">
        <v>850</v>
      </c>
      <c r="D543" s="128" t="s">
        <v>874</v>
      </c>
      <c r="E543" s="127">
        <v>500</v>
      </c>
      <c r="F543" s="127">
        <v>97093264</v>
      </c>
      <c r="G543" s="127" t="s">
        <v>1643</v>
      </c>
      <c r="H543" s="187"/>
      <c r="I543" s="187"/>
      <c r="P543" t="str">
        <f t="shared" si="56"/>
        <v>VENEUX62</v>
      </c>
      <c r="Q543" t="str">
        <f t="shared" si="57"/>
        <v>HOLIN</v>
      </c>
      <c r="R543" t="str">
        <f t="shared" si="58"/>
        <v>Scarlett</v>
      </c>
      <c r="S543">
        <f t="shared" si="59"/>
        <v>500</v>
      </c>
      <c r="T543">
        <f t="shared" si="60"/>
        <v>97093264</v>
      </c>
      <c r="U543" t="s">
        <v>910</v>
      </c>
    </row>
    <row r="544" spans="1:21" x14ac:dyDescent="0.2">
      <c r="A544" s="186" t="s">
        <v>150</v>
      </c>
      <c r="B544" s="128">
        <f t="shared" si="55"/>
        <v>63</v>
      </c>
      <c r="C544" s="128" t="s">
        <v>513</v>
      </c>
      <c r="D544" s="128" t="s">
        <v>284</v>
      </c>
      <c r="E544" s="127">
        <v>642</v>
      </c>
      <c r="F544" s="127">
        <v>97066637</v>
      </c>
      <c r="G544" s="127" t="s">
        <v>1643</v>
      </c>
      <c r="H544" s="187"/>
      <c r="I544" s="187"/>
      <c r="P544" t="str">
        <f t="shared" si="56"/>
        <v>VENEUX63</v>
      </c>
      <c r="Q544" t="str">
        <f t="shared" si="57"/>
        <v>HOULIER</v>
      </c>
      <c r="R544" t="str">
        <f t="shared" si="58"/>
        <v>Vincent</v>
      </c>
      <c r="S544">
        <f t="shared" si="59"/>
        <v>642</v>
      </c>
      <c r="T544">
        <f t="shared" si="60"/>
        <v>97066637</v>
      </c>
      <c r="U544" t="s">
        <v>543</v>
      </c>
    </row>
    <row r="545" spans="1:21" x14ac:dyDescent="0.2">
      <c r="A545" s="186" t="s">
        <v>150</v>
      </c>
      <c r="B545" s="128">
        <f t="shared" si="55"/>
        <v>64</v>
      </c>
      <c r="C545" s="128" t="s">
        <v>1758</v>
      </c>
      <c r="D545" s="128" t="s">
        <v>335</v>
      </c>
      <c r="E545" s="127">
        <v>500</v>
      </c>
      <c r="F545" s="127">
        <v>97109569</v>
      </c>
      <c r="G545" s="127" t="s">
        <v>1643</v>
      </c>
      <c r="H545" s="187"/>
      <c r="I545" s="187"/>
      <c r="P545" t="str">
        <f t="shared" si="56"/>
        <v>VENEUX64</v>
      </c>
      <c r="Q545" t="str">
        <f t="shared" si="57"/>
        <v>HYM</v>
      </c>
      <c r="R545" t="str">
        <f t="shared" si="58"/>
        <v>Michel</v>
      </c>
      <c r="S545">
        <f t="shared" si="59"/>
        <v>500</v>
      </c>
      <c r="T545">
        <f t="shared" si="60"/>
        <v>97109569</v>
      </c>
      <c r="U545" t="s">
        <v>1759</v>
      </c>
    </row>
    <row r="546" spans="1:21" x14ac:dyDescent="0.2">
      <c r="A546" s="186" t="s">
        <v>150</v>
      </c>
      <c r="B546" s="128">
        <f t="shared" si="55"/>
        <v>65</v>
      </c>
      <c r="C546" s="128" t="s">
        <v>1531</v>
      </c>
      <c r="D546" s="128" t="s">
        <v>461</v>
      </c>
      <c r="E546" s="127">
        <v>1236</v>
      </c>
      <c r="F546" s="127">
        <v>97083248</v>
      </c>
      <c r="G546" s="127" t="s">
        <v>1643</v>
      </c>
      <c r="H546" s="187"/>
      <c r="I546" s="187"/>
      <c r="P546" t="str">
        <f t="shared" si="56"/>
        <v>VENEUX65</v>
      </c>
      <c r="Q546" t="str">
        <f t="shared" si="57"/>
        <v>JACQUINOT FONSECA</v>
      </c>
      <c r="R546" t="str">
        <f t="shared" si="58"/>
        <v>Matteo</v>
      </c>
      <c r="S546">
        <f t="shared" si="59"/>
        <v>1236</v>
      </c>
      <c r="T546">
        <f t="shared" si="60"/>
        <v>97083248</v>
      </c>
      <c r="U546" t="s">
        <v>1593</v>
      </c>
    </row>
    <row r="547" spans="1:21" x14ac:dyDescent="0.2">
      <c r="A547" s="186" t="s">
        <v>150</v>
      </c>
      <c r="B547" s="128">
        <f t="shared" si="55"/>
        <v>66</v>
      </c>
      <c r="C547" s="128" t="s">
        <v>683</v>
      </c>
      <c r="D547" s="128" t="s">
        <v>284</v>
      </c>
      <c r="E547" s="127">
        <v>1131</v>
      </c>
      <c r="F547" s="127">
        <v>97083240</v>
      </c>
      <c r="G547" s="127" t="s">
        <v>1643</v>
      </c>
      <c r="H547" s="187"/>
      <c r="I547" s="187"/>
      <c r="P547" t="str">
        <f t="shared" si="56"/>
        <v>VENEUX66</v>
      </c>
      <c r="Q547" t="str">
        <f t="shared" si="57"/>
        <v>JACQUINOT</v>
      </c>
      <c r="R547" t="str">
        <f t="shared" si="58"/>
        <v>Vincent</v>
      </c>
      <c r="S547">
        <f t="shared" si="59"/>
        <v>1131</v>
      </c>
      <c r="T547">
        <f t="shared" si="60"/>
        <v>97083240</v>
      </c>
      <c r="U547" t="s">
        <v>1996</v>
      </c>
    </row>
    <row r="548" spans="1:21" x14ac:dyDescent="0.2">
      <c r="A548" s="186" t="s">
        <v>150</v>
      </c>
      <c r="B548" s="128">
        <f t="shared" si="55"/>
        <v>67</v>
      </c>
      <c r="C548" s="128" t="s">
        <v>1937</v>
      </c>
      <c r="D548" s="128" t="s">
        <v>1938</v>
      </c>
      <c r="E548" s="127">
        <v>500</v>
      </c>
      <c r="F548" s="127">
        <v>97067442</v>
      </c>
      <c r="G548" s="127" t="s">
        <v>1643</v>
      </c>
      <c r="H548" s="187"/>
      <c r="I548" s="187"/>
      <c r="P548" t="str">
        <f t="shared" si="56"/>
        <v>VENEUX67</v>
      </c>
      <c r="Q548" t="str">
        <f t="shared" si="57"/>
        <v>JARDINET</v>
      </c>
      <c r="R548" t="str">
        <f t="shared" si="58"/>
        <v>Célia</v>
      </c>
      <c r="S548">
        <f t="shared" si="59"/>
        <v>500</v>
      </c>
      <c r="T548">
        <f t="shared" si="60"/>
        <v>97067442</v>
      </c>
      <c r="U548" t="s">
        <v>1999</v>
      </c>
    </row>
    <row r="549" spans="1:21" x14ac:dyDescent="0.2">
      <c r="A549" s="186" t="s">
        <v>150</v>
      </c>
      <c r="B549" s="128">
        <f t="shared" si="55"/>
        <v>68</v>
      </c>
      <c r="C549" s="128" t="s">
        <v>1927</v>
      </c>
      <c r="D549" s="128" t="s">
        <v>1928</v>
      </c>
      <c r="E549" s="127">
        <v>500</v>
      </c>
      <c r="F549" s="127">
        <v>97110715</v>
      </c>
      <c r="G549" s="127" t="s">
        <v>1643</v>
      </c>
      <c r="H549" s="187"/>
      <c r="I549" s="187"/>
      <c r="P549" t="str">
        <f t="shared" si="56"/>
        <v>VENEUX68</v>
      </c>
      <c r="Q549" t="str">
        <f t="shared" si="57"/>
        <v>LACHAISE</v>
      </c>
      <c r="R549" t="str">
        <f t="shared" si="58"/>
        <v>Eden</v>
      </c>
      <c r="S549">
        <f t="shared" si="59"/>
        <v>500</v>
      </c>
      <c r="T549">
        <f t="shared" si="60"/>
        <v>97110715</v>
      </c>
      <c r="U549" t="s">
        <v>1997</v>
      </c>
    </row>
    <row r="550" spans="1:21" x14ac:dyDescent="0.2">
      <c r="A550" s="186" t="s">
        <v>150</v>
      </c>
      <c r="B550" s="128">
        <f t="shared" si="55"/>
        <v>69</v>
      </c>
      <c r="C550" s="128" t="s">
        <v>1927</v>
      </c>
      <c r="D550" s="128" t="s">
        <v>601</v>
      </c>
      <c r="E550" s="127">
        <v>500</v>
      </c>
      <c r="F550" s="127">
        <v>87457336</v>
      </c>
      <c r="G550" s="127" t="s">
        <v>1643</v>
      </c>
      <c r="H550" s="187"/>
      <c r="I550" s="187"/>
      <c r="P550" t="str">
        <f t="shared" si="56"/>
        <v>VENEUX69</v>
      </c>
      <c r="Q550" t="str">
        <f t="shared" si="57"/>
        <v>LACHAISE</v>
      </c>
      <c r="R550" t="str">
        <f t="shared" si="58"/>
        <v>Noha</v>
      </c>
      <c r="S550">
        <f t="shared" si="59"/>
        <v>500</v>
      </c>
      <c r="T550">
        <f t="shared" si="60"/>
        <v>87457336</v>
      </c>
      <c r="U550" t="s">
        <v>1998</v>
      </c>
    </row>
    <row r="551" spans="1:21" x14ac:dyDescent="0.2">
      <c r="A551" s="186" t="s">
        <v>150</v>
      </c>
      <c r="B551" s="128">
        <f t="shared" si="55"/>
        <v>70</v>
      </c>
      <c r="C551" s="128" t="s">
        <v>453</v>
      </c>
      <c r="D551" s="128" t="s">
        <v>307</v>
      </c>
      <c r="E551" s="127">
        <v>1016</v>
      </c>
      <c r="F551" s="127">
        <v>97057828</v>
      </c>
      <c r="G551" s="127" t="s">
        <v>1643</v>
      </c>
      <c r="H551" s="187"/>
      <c r="I551" s="187"/>
      <c r="P551" t="str">
        <f t="shared" si="56"/>
        <v>VENEUX70</v>
      </c>
      <c r="Q551" t="str">
        <f t="shared" si="57"/>
        <v>LALARME</v>
      </c>
      <c r="R551" t="str">
        <f t="shared" si="58"/>
        <v>Guillaume</v>
      </c>
      <c r="S551">
        <f t="shared" si="59"/>
        <v>1016</v>
      </c>
      <c r="T551">
        <f t="shared" si="60"/>
        <v>97057828</v>
      </c>
      <c r="U551" t="s">
        <v>544</v>
      </c>
    </row>
    <row r="552" spans="1:21" x14ac:dyDescent="0.2">
      <c r="A552" s="186" t="s">
        <v>150</v>
      </c>
      <c r="B552" s="128">
        <f t="shared" ref="B552:B616" si="61">IF(A552=A551,B551+1,1)</f>
        <v>71</v>
      </c>
      <c r="C552" s="128" t="s">
        <v>1076</v>
      </c>
      <c r="D552" s="128" t="s">
        <v>804</v>
      </c>
      <c r="E552" s="127">
        <v>500</v>
      </c>
      <c r="F552" s="127">
        <v>97101744</v>
      </c>
      <c r="G552" s="127" t="s">
        <v>1856</v>
      </c>
      <c r="H552" s="187"/>
      <c r="I552" s="187"/>
      <c r="P552" t="str">
        <f t="shared" ref="P552:P616" si="62">A552&amp;B552</f>
        <v>VENEUX71</v>
      </c>
      <c r="Q552" t="str">
        <f t="shared" si="57"/>
        <v>LAPENDRY</v>
      </c>
      <c r="R552" t="str">
        <f t="shared" si="58"/>
        <v>Stephan</v>
      </c>
      <c r="S552">
        <f t="shared" si="59"/>
        <v>500</v>
      </c>
      <c r="T552">
        <f t="shared" si="60"/>
        <v>97101744</v>
      </c>
      <c r="U552" t="s">
        <v>1120</v>
      </c>
    </row>
    <row r="553" spans="1:21" x14ac:dyDescent="0.2">
      <c r="A553" s="186" t="s">
        <v>150</v>
      </c>
      <c r="B553" s="128">
        <f t="shared" si="61"/>
        <v>72</v>
      </c>
      <c r="C553" s="128" t="s">
        <v>936</v>
      </c>
      <c r="D553" s="128" t="s">
        <v>584</v>
      </c>
      <c r="E553" s="127">
        <v>500</v>
      </c>
      <c r="F553" s="127">
        <v>97056335</v>
      </c>
      <c r="G553" s="127" t="s">
        <v>1643</v>
      </c>
      <c r="H553" s="187"/>
      <c r="I553" s="187"/>
      <c r="P553" t="str">
        <f t="shared" si="62"/>
        <v>VENEUX72</v>
      </c>
      <c r="Q553" t="str">
        <f t="shared" si="57"/>
        <v>LE TOUCHE</v>
      </c>
      <c r="R553" t="str">
        <f t="shared" si="58"/>
        <v>Jules</v>
      </c>
      <c r="S553">
        <f t="shared" si="59"/>
        <v>500</v>
      </c>
      <c r="T553">
        <f t="shared" si="60"/>
        <v>97056335</v>
      </c>
      <c r="U553" t="s">
        <v>971</v>
      </c>
    </row>
    <row r="554" spans="1:21" x14ac:dyDescent="0.2">
      <c r="A554" s="186" t="s">
        <v>150</v>
      </c>
      <c r="B554" s="128">
        <f t="shared" si="61"/>
        <v>73</v>
      </c>
      <c r="C554" s="128" t="s">
        <v>1247</v>
      </c>
      <c r="D554" s="128" t="s">
        <v>306</v>
      </c>
      <c r="E554" s="127">
        <v>506</v>
      </c>
      <c r="F554" s="127">
        <v>97102465</v>
      </c>
      <c r="G554" s="127" t="s">
        <v>1856</v>
      </c>
      <c r="H554" s="187"/>
      <c r="I554" s="187"/>
      <c r="P554" t="str">
        <f t="shared" si="62"/>
        <v>VENEUX73</v>
      </c>
      <c r="Q554" t="str">
        <f t="shared" si="57"/>
        <v>LECERF</v>
      </c>
      <c r="R554" t="str">
        <f t="shared" si="58"/>
        <v>Valentin</v>
      </c>
      <c r="S554">
        <f t="shared" si="59"/>
        <v>506</v>
      </c>
      <c r="T554">
        <f t="shared" si="60"/>
        <v>97102465</v>
      </c>
      <c r="U554" t="s">
        <v>1478</v>
      </c>
    </row>
    <row r="555" spans="1:21" x14ac:dyDescent="0.2">
      <c r="A555" s="186" t="s">
        <v>150</v>
      </c>
      <c r="B555" s="128">
        <f t="shared" si="61"/>
        <v>74</v>
      </c>
      <c r="C555" s="128" t="s">
        <v>797</v>
      </c>
      <c r="D555" s="128" t="s">
        <v>803</v>
      </c>
      <c r="E555" s="127">
        <v>522</v>
      </c>
      <c r="F555" s="127">
        <v>97089259</v>
      </c>
      <c r="G555" s="127" t="s">
        <v>1643</v>
      </c>
      <c r="H555" s="187"/>
      <c r="I555" s="187"/>
      <c r="P555" t="str">
        <f t="shared" si="62"/>
        <v>VENEUX74</v>
      </c>
      <c r="Q555" t="str">
        <f t="shared" si="57"/>
        <v>LECOQ</v>
      </c>
      <c r="R555" t="str">
        <f t="shared" si="58"/>
        <v>Jensen</v>
      </c>
      <c r="S555">
        <f t="shared" si="59"/>
        <v>522</v>
      </c>
      <c r="T555">
        <f t="shared" si="60"/>
        <v>97089259</v>
      </c>
      <c r="U555" t="s">
        <v>811</v>
      </c>
    </row>
    <row r="556" spans="1:21" x14ac:dyDescent="0.2">
      <c r="A556" s="186" t="s">
        <v>150</v>
      </c>
      <c r="B556" s="128">
        <f t="shared" si="61"/>
        <v>75</v>
      </c>
      <c r="C556" s="128" t="s">
        <v>797</v>
      </c>
      <c r="D556" s="128" t="s">
        <v>802</v>
      </c>
      <c r="E556" s="127">
        <v>615</v>
      </c>
      <c r="F556" s="127">
        <v>97089260</v>
      </c>
      <c r="G556" s="127" t="s">
        <v>1643</v>
      </c>
      <c r="H556" s="187"/>
      <c r="I556" s="187"/>
      <c r="P556" t="str">
        <f t="shared" si="62"/>
        <v>VENEUX75</v>
      </c>
      <c r="Q556" t="str">
        <f t="shared" si="57"/>
        <v>LECOQ</v>
      </c>
      <c r="R556" t="str">
        <f t="shared" si="58"/>
        <v>Rubens</v>
      </c>
      <c r="S556">
        <f t="shared" si="59"/>
        <v>615</v>
      </c>
      <c r="T556">
        <f t="shared" si="60"/>
        <v>97089260</v>
      </c>
      <c r="U556" t="s">
        <v>810</v>
      </c>
    </row>
    <row r="557" spans="1:21" x14ac:dyDescent="0.2">
      <c r="A557" s="186" t="s">
        <v>150</v>
      </c>
      <c r="B557" s="128">
        <f t="shared" si="61"/>
        <v>76</v>
      </c>
      <c r="C557" s="128" t="s">
        <v>828</v>
      </c>
      <c r="D557" s="128" t="s">
        <v>722</v>
      </c>
      <c r="E557" s="127">
        <v>511</v>
      </c>
      <c r="F557" s="127">
        <v>87463609</v>
      </c>
      <c r="G557" s="127" t="s">
        <v>1643</v>
      </c>
      <c r="H557" s="187"/>
      <c r="I557" s="187"/>
      <c r="P557" t="str">
        <f t="shared" si="62"/>
        <v>VENEUX76</v>
      </c>
      <c r="Q557" t="str">
        <f t="shared" si="57"/>
        <v>LEHMANN HANNOUN</v>
      </c>
      <c r="R557" t="str">
        <f t="shared" si="58"/>
        <v>Lucie</v>
      </c>
      <c r="S557">
        <f t="shared" si="59"/>
        <v>511</v>
      </c>
      <c r="T557">
        <f t="shared" si="60"/>
        <v>87463609</v>
      </c>
      <c r="U557" t="s">
        <v>890</v>
      </c>
    </row>
    <row r="558" spans="1:21" x14ac:dyDescent="0.2">
      <c r="A558" s="186" t="s">
        <v>150</v>
      </c>
      <c r="B558" s="128">
        <f t="shared" si="61"/>
        <v>77</v>
      </c>
      <c r="C558" s="128" t="s">
        <v>636</v>
      </c>
      <c r="D558" s="128" t="s">
        <v>293</v>
      </c>
      <c r="E558" s="127">
        <v>1446</v>
      </c>
      <c r="F558" s="127">
        <v>55330259</v>
      </c>
      <c r="G558" s="127" t="s">
        <v>1643</v>
      </c>
      <c r="H558" s="187"/>
      <c r="I558" s="187"/>
      <c r="P558" t="str">
        <f t="shared" si="62"/>
        <v>VENEUX77</v>
      </c>
      <c r="Q558" t="str">
        <f t="shared" si="57"/>
        <v>LESAGE</v>
      </c>
      <c r="R558" t="str">
        <f t="shared" si="58"/>
        <v>Christophe</v>
      </c>
      <c r="S558">
        <f t="shared" si="59"/>
        <v>1446</v>
      </c>
      <c r="T558">
        <f t="shared" si="60"/>
        <v>55330259</v>
      </c>
      <c r="U558" t="s">
        <v>646</v>
      </c>
    </row>
    <row r="559" spans="1:21" x14ac:dyDescent="0.2">
      <c r="A559" s="186" t="s">
        <v>150</v>
      </c>
      <c r="B559" s="128">
        <f t="shared" si="61"/>
        <v>78</v>
      </c>
      <c r="C559" s="128" t="s">
        <v>1261</v>
      </c>
      <c r="D559" s="128" t="s">
        <v>1345</v>
      </c>
      <c r="E559" s="127">
        <v>500</v>
      </c>
      <c r="F559" s="127">
        <v>97057333</v>
      </c>
      <c r="G559" s="127" t="s">
        <v>1643</v>
      </c>
      <c r="H559" s="187"/>
      <c r="I559" s="187"/>
      <c r="P559" t="str">
        <f t="shared" si="62"/>
        <v>VENEUX78</v>
      </c>
      <c r="Q559" t="str">
        <f t="shared" si="57"/>
        <v>LESCOT</v>
      </c>
      <c r="R559" t="str">
        <f t="shared" si="58"/>
        <v>Sören</v>
      </c>
      <c r="S559">
        <f t="shared" si="59"/>
        <v>500</v>
      </c>
      <c r="T559">
        <f t="shared" si="60"/>
        <v>97057333</v>
      </c>
      <c r="U559" t="s">
        <v>1594</v>
      </c>
    </row>
    <row r="560" spans="1:21" x14ac:dyDescent="0.2">
      <c r="A560" s="186" t="s">
        <v>150</v>
      </c>
      <c r="B560" s="128">
        <f t="shared" si="61"/>
        <v>79</v>
      </c>
      <c r="C560" s="128" t="s">
        <v>715</v>
      </c>
      <c r="D560" s="128" t="s">
        <v>292</v>
      </c>
      <c r="E560" s="127">
        <v>1134</v>
      </c>
      <c r="F560" s="127">
        <v>87412089</v>
      </c>
      <c r="G560" s="127" t="s">
        <v>1643</v>
      </c>
      <c r="H560" s="187"/>
      <c r="I560" s="187"/>
      <c r="P560" t="str">
        <f t="shared" si="62"/>
        <v>VENEUX79</v>
      </c>
      <c r="Q560" t="str">
        <f t="shared" si="57"/>
        <v>LESEIGNEUR</v>
      </c>
      <c r="R560" t="str">
        <f t="shared" si="58"/>
        <v>Philippe</v>
      </c>
      <c r="S560">
        <f t="shared" si="59"/>
        <v>1134</v>
      </c>
      <c r="T560">
        <f t="shared" si="60"/>
        <v>87412089</v>
      </c>
      <c r="U560" t="s">
        <v>733</v>
      </c>
    </row>
    <row r="561" spans="1:21" x14ac:dyDescent="0.2">
      <c r="A561" s="186" t="s">
        <v>150</v>
      </c>
      <c r="B561" s="128">
        <f t="shared" si="61"/>
        <v>80</v>
      </c>
      <c r="C561" s="128" t="s">
        <v>101</v>
      </c>
      <c r="D561" s="128" t="s">
        <v>295</v>
      </c>
      <c r="E561" s="127">
        <v>763</v>
      </c>
      <c r="F561" s="127">
        <v>45016192</v>
      </c>
      <c r="G561" s="127" t="s">
        <v>1643</v>
      </c>
      <c r="H561" s="187"/>
      <c r="I561" s="187"/>
      <c r="P561" t="str">
        <f t="shared" si="62"/>
        <v>VENEUX80</v>
      </c>
      <c r="Q561" t="str">
        <f t="shared" si="57"/>
        <v>LIGER</v>
      </c>
      <c r="R561" t="str">
        <f t="shared" si="58"/>
        <v>Pascal</v>
      </c>
      <c r="S561">
        <f t="shared" si="59"/>
        <v>763</v>
      </c>
      <c r="T561">
        <f t="shared" si="60"/>
        <v>45016192</v>
      </c>
      <c r="U561" t="s">
        <v>546</v>
      </c>
    </row>
    <row r="562" spans="1:21" x14ac:dyDescent="0.2">
      <c r="A562" s="186" t="s">
        <v>150</v>
      </c>
      <c r="B562" s="128">
        <f t="shared" si="61"/>
        <v>81</v>
      </c>
      <c r="C562" s="128" t="s">
        <v>101</v>
      </c>
      <c r="D562" s="128" t="s">
        <v>1756</v>
      </c>
      <c r="E562" s="127">
        <v>500</v>
      </c>
      <c r="F562" s="127">
        <v>55330262</v>
      </c>
      <c r="G562" s="127" t="s">
        <v>1643</v>
      </c>
      <c r="H562" s="187"/>
      <c r="I562" s="187"/>
      <c r="P562" t="str">
        <f t="shared" si="62"/>
        <v>VENEUX81</v>
      </c>
      <c r="Q562" t="str">
        <f t="shared" si="57"/>
        <v>LIGER</v>
      </c>
      <c r="R562" t="str">
        <f t="shared" si="58"/>
        <v>Déborah</v>
      </c>
      <c r="S562">
        <f t="shared" si="59"/>
        <v>500</v>
      </c>
      <c r="T562">
        <f t="shared" si="60"/>
        <v>55330262</v>
      </c>
      <c r="U562" t="s">
        <v>1757</v>
      </c>
    </row>
    <row r="563" spans="1:21" x14ac:dyDescent="0.2">
      <c r="A563" s="186" t="s">
        <v>150</v>
      </c>
      <c r="B563" s="128">
        <f t="shared" si="61"/>
        <v>82</v>
      </c>
      <c r="C563" s="128" t="s">
        <v>104</v>
      </c>
      <c r="D563" s="128" t="s">
        <v>358</v>
      </c>
      <c r="E563" s="127">
        <v>967</v>
      </c>
      <c r="F563" s="127">
        <v>55359577</v>
      </c>
      <c r="G563" s="127" t="s">
        <v>1856</v>
      </c>
      <c r="H563" s="187"/>
      <c r="I563" s="187"/>
      <c r="P563" t="str">
        <f t="shared" si="62"/>
        <v>VENEUX82</v>
      </c>
      <c r="Q563" t="str">
        <f t="shared" si="57"/>
        <v>LOQUET</v>
      </c>
      <c r="R563" t="str">
        <f t="shared" si="58"/>
        <v>Marion</v>
      </c>
      <c r="S563">
        <f t="shared" si="59"/>
        <v>967</v>
      </c>
      <c r="T563">
        <f t="shared" si="60"/>
        <v>55359577</v>
      </c>
      <c r="U563" t="s">
        <v>547</v>
      </c>
    </row>
    <row r="564" spans="1:21" x14ac:dyDescent="0.2">
      <c r="A564" s="186" t="s">
        <v>150</v>
      </c>
      <c r="B564" s="128">
        <f t="shared" si="61"/>
        <v>83</v>
      </c>
      <c r="C564" s="128" t="s">
        <v>1135</v>
      </c>
      <c r="D564" s="128" t="s">
        <v>279</v>
      </c>
      <c r="E564" s="127">
        <v>1350</v>
      </c>
      <c r="F564" s="127">
        <v>55333623</v>
      </c>
      <c r="G564" s="127" t="s">
        <v>1856</v>
      </c>
      <c r="H564" s="187"/>
      <c r="I564" s="187"/>
      <c r="P564" t="str">
        <f t="shared" si="62"/>
        <v>VENEUX83</v>
      </c>
      <c r="Q564" t="str">
        <f t="shared" si="57"/>
        <v>LOTZ</v>
      </c>
      <c r="R564" t="str">
        <f t="shared" si="58"/>
        <v>Dominique</v>
      </c>
      <c r="S564">
        <f t="shared" si="59"/>
        <v>1350</v>
      </c>
      <c r="T564">
        <f t="shared" si="60"/>
        <v>55333623</v>
      </c>
      <c r="U564" t="s">
        <v>1136</v>
      </c>
    </row>
    <row r="565" spans="1:21" x14ac:dyDescent="0.2">
      <c r="A565" s="186" t="s">
        <v>150</v>
      </c>
      <c r="B565" s="128">
        <f t="shared" si="61"/>
        <v>84</v>
      </c>
      <c r="C565" s="128" t="s">
        <v>113</v>
      </c>
      <c r="D565" s="128" t="s">
        <v>284</v>
      </c>
      <c r="E565" s="127">
        <v>1671</v>
      </c>
      <c r="F565" s="127">
        <v>87417565</v>
      </c>
      <c r="G565" s="127" t="s">
        <v>1643</v>
      </c>
      <c r="H565" s="187"/>
      <c r="I565" s="187"/>
      <c r="P565" t="str">
        <f t="shared" si="62"/>
        <v>VENEUX84</v>
      </c>
      <c r="Q565" t="str">
        <f t="shared" si="57"/>
        <v>LUGUET</v>
      </c>
      <c r="R565" t="str">
        <f t="shared" si="58"/>
        <v>Vincent</v>
      </c>
      <c r="S565">
        <f t="shared" si="59"/>
        <v>1671</v>
      </c>
      <c r="T565">
        <f t="shared" si="60"/>
        <v>87417565</v>
      </c>
      <c r="U565" t="s">
        <v>548</v>
      </c>
    </row>
    <row r="566" spans="1:21" x14ac:dyDescent="0.2">
      <c r="A566" s="186" t="s">
        <v>150</v>
      </c>
      <c r="B566" s="128">
        <f t="shared" si="61"/>
        <v>85</v>
      </c>
      <c r="C566" s="128" t="s">
        <v>1753</v>
      </c>
      <c r="D566" s="128" t="s">
        <v>1754</v>
      </c>
      <c r="E566" s="127">
        <v>500</v>
      </c>
      <c r="F566" s="127">
        <v>97109570</v>
      </c>
      <c r="G566" s="127" t="s">
        <v>1643</v>
      </c>
      <c r="H566" s="187"/>
      <c r="I566" s="187"/>
      <c r="P566" t="str">
        <f t="shared" si="62"/>
        <v>VENEUX85</v>
      </c>
      <c r="Q566" t="str">
        <f t="shared" si="57"/>
        <v>MALO</v>
      </c>
      <c r="R566" t="str">
        <f t="shared" si="58"/>
        <v>Karine</v>
      </c>
      <c r="S566">
        <f t="shared" si="59"/>
        <v>500</v>
      </c>
      <c r="T566">
        <f t="shared" si="60"/>
        <v>97109570</v>
      </c>
      <c r="U566" t="s">
        <v>1755</v>
      </c>
    </row>
    <row r="567" spans="1:21" x14ac:dyDescent="0.2">
      <c r="A567" s="186" t="s">
        <v>150</v>
      </c>
      <c r="B567" s="128">
        <f t="shared" si="61"/>
        <v>86</v>
      </c>
      <c r="C567" s="128" t="s">
        <v>492</v>
      </c>
      <c r="D567" s="128" t="s">
        <v>567</v>
      </c>
      <c r="E567" s="127">
        <v>507</v>
      </c>
      <c r="F567" s="127">
        <v>97074806</v>
      </c>
      <c r="G567" s="127" t="s">
        <v>1643</v>
      </c>
      <c r="H567" s="187"/>
      <c r="I567" s="187"/>
      <c r="P567" t="str">
        <f t="shared" si="62"/>
        <v>VENEUX86</v>
      </c>
      <c r="Q567" t="str">
        <f t="shared" si="57"/>
        <v>MARIE</v>
      </c>
      <c r="R567" t="str">
        <f t="shared" si="58"/>
        <v>Pascale</v>
      </c>
      <c r="S567">
        <f t="shared" si="59"/>
        <v>507</v>
      </c>
      <c r="T567">
        <f t="shared" si="60"/>
        <v>97074806</v>
      </c>
      <c r="U567" t="s">
        <v>568</v>
      </c>
    </row>
    <row r="568" spans="1:21" x14ac:dyDescent="0.2">
      <c r="A568" s="186" t="s">
        <v>150</v>
      </c>
      <c r="B568" s="128">
        <f t="shared" si="61"/>
        <v>87</v>
      </c>
      <c r="C568" s="128" t="s">
        <v>492</v>
      </c>
      <c r="D568" s="128" t="s">
        <v>491</v>
      </c>
      <c r="E568" s="127">
        <v>833</v>
      </c>
      <c r="F568" s="127">
        <v>97064194</v>
      </c>
      <c r="G568" s="127" t="s">
        <v>1643</v>
      </c>
      <c r="H568" s="187"/>
      <c r="I568" s="187"/>
      <c r="P568" t="str">
        <f t="shared" si="62"/>
        <v>VENEUX87</v>
      </c>
      <c r="Q568" t="str">
        <f t="shared" si="57"/>
        <v>MARIE</v>
      </c>
      <c r="R568" t="str">
        <f t="shared" si="58"/>
        <v>Rémi</v>
      </c>
      <c r="S568">
        <f t="shared" si="59"/>
        <v>833</v>
      </c>
      <c r="T568">
        <f t="shared" si="60"/>
        <v>97064194</v>
      </c>
      <c r="U568" t="s">
        <v>1059</v>
      </c>
    </row>
    <row r="569" spans="1:21" x14ac:dyDescent="0.2">
      <c r="A569" s="186" t="s">
        <v>150</v>
      </c>
      <c r="B569" s="128">
        <f t="shared" si="61"/>
        <v>88</v>
      </c>
      <c r="C569" s="128" t="s">
        <v>637</v>
      </c>
      <c r="D569" s="128" t="s">
        <v>1945</v>
      </c>
      <c r="E569" s="127">
        <v>500</v>
      </c>
      <c r="F569" s="127">
        <v>97110892</v>
      </c>
      <c r="G569" s="127" t="s">
        <v>1643</v>
      </c>
      <c r="H569" s="187"/>
      <c r="I569" s="187"/>
      <c r="P569" t="str">
        <f t="shared" si="62"/>
        <v>VENEUX88</v>
      </c>
      <c r="Q569" t="str">
        <f t="shared" si="57"/>
        <v>MARTIN</v>
      </c>
      <c r="R569" t="str">
        <f t="shared" si="58"/>
        <v>Helio</v>
      </c>
      <c r="S569">
        <f t="shared" si="59"/>
        <v>500</v>
      </c>
      <c r="T569">
        <f t="shared" si="60"/>
        <v>97110892</v>
      </c>
      <c r="U569" t="s">
        <v>2000</v>
      </c>
    </row>
    <row r="570" spans="1:21" x14ac:dyDescent="0.2">
      <c r="A570" s="186" t="s">
        <v>150</v>
      </c>
      <c r="B570" s="128">
        <f t="shared" si="61"/>
        <v>89</v>
      </c>
      <c r="C570" s="128" t="s">
        <v>1936</v>
      </c>
      <c r="D570" s="128" t="s">
        <v>1791</v>
      </c>
      <c r="E570" s="127">
        <v>500</v>
      </c>
      <c r="F570" s="127">
        <v>97111601</v>
      </c>
      <c r="G570" s="127" t="s">
        <v>1643</v>
      </c>
      <c r="H570" s="187"/>
      <c r="I570" s="187"/>
      <c r="P570" t="str">
        <f t="shared" si="62"/>
        <v>VENEUX89</v>
      </c>
      <c r="Q570" t="str">
        <f t="shared" si="57"/>
        <v>MARTIN POTIRON</v>
      </c>
      <c r="R570" t="str">
        <f t="shared" si="58"/>
        <v>Estelle</v>
      </c>
      <c r="S570">
        <f t="shared" si="59"/>
        <v>500</v>
      </c>
      <c r="T570">
        <f t="shared" si="60"/>
        <v>97111601</v>
      </c>
      <c r="U570" t="s">
        <v>2001</v>
      </c>
    </row>
    <row r="571" spans="1:21" x14ac:dyDescent="0.2">
      <c r="A571" s="186" t="s">
        <v>150</v>
      </c>
      <c r="B571" s="128">
        <f t="shared" si="61"/>
        <v>90</v>
      </c>
      <c r="C571" s="128" t="s">
        <v>596</v>
      </c>
      <c r="D571" s="128" t="s">
        <v>356</v>
      </c>
      <c r="E571" s="127">
        <v>817</v>
      </c>
      <c r="F571" s="127">
        <v>87457307</v>
      </c>
      <c r="G571" s="127" t="s">
        <v>1643</v>
      </c>
      <c r="H571" s="187"/>
      <c r="I571" s="187"/>
      <c r="P571" t="str">
        <f t="shared" si="62"/>
        <v>VENEUX90</v>
      </c>
      <c r="Q571" t="str">
        <f t="shared" si="57"/>
        <v>MAURY</v>
      </c>
      <c r="R571" t="str">
        <f t="shared" si="58"/>
        <v>Mathis</v>
      </c>
      <c r="S571">
        <f t="shared" si="59"/>
        <v>817</v>
      </c>
      <c r="T571">
        <f t="shared" si="60"/>
        <v>87457307</v>
      </c>
      <c r="U571" t="s">
        <v>606</v>
      </c>
    </row>
    <row r="572" spans="1:21" x14ac:dyDescent="0.2">
      <c r="A572" s="186" t="s">
        <v>150</v>
      </c>
      <c r="B572" s="128">
        <f t="shared" si="61"/>
        <v>91</v>
      </c>
      <c r="C572" s="128" t="s">
        <v>596</v>
      </c>
      <c r="D572" s="128" t="s">
        <v>763</v>
      </c>
      <c r="E572" s="127">
        <v>500</v>
      </c>
      <c r="F572" s="127">
        <v>97057337</v>
      </c>
      <c r="G572" s="127" t="s">
        <v>1856</v>
      </c>
      <c r="H572" s="187"/>
      <c r="I572" s="187"/>
      <c r="P572" t="str">
        <f t="shared" si="62"/>
        <v>VENEUX91</v>
      </c>
      <c r="Q572" t="str">
        <f t="shared" si="57"/>
        <v>MAURY</v>
      </c>
      <c r="R572" t="str">
        <f t="shared" si="58"/>
        <v>Theo</v>
      </c>
      <c r="S572">
        <f t="shared" si="59"/>
        <v>500</v>
      </c>
      <c r="T572">
        <f t="shared" si="60"/>
        <v>97057337</v>
      </c>
      <c r="U572" t="s">
        <v>1482</v>
      </c>
    </row>
    <row r="573" spans="1:21" x14ac:dyDescent="0.2">
      <c r="A573" s="186" t="s">
        <v>150</v>
      </c>
      <c r="B573" s="128">
        <f t="shared" si="61"/>
        <v>92</v>
      </c>
      <c r="C573" s="128" t="s">
        <v>1254</v>
      </c>
      <c r="D573" s="128" t="s">
        <v>721</v>
      </c>
      <c r="E573" s="127">
        <v>500</v>
      </c>
      <c r="F573" s="127">
        <v>97103882</v>
      </c>
      <c r="G573" s="127" t="s">
        <v>1856</v>
      </c>
      <c r="H573" s="187"/>
      <c r="I573" s="187"/>
      <c r="P573" t="str">
        <f t="shared" si="62"/>
        <v>VENEUX92</v>
      </c>
      <c r="Q573" t="str">
        <f t="shared" si="57"/>
        <v>MC PNTYRE</v>
      </c>
      <c r="R573" t="str">
        <f t="shared" si="58"/>
        <v>Charlie</v>
      </c>
      <c r="S573">
        <f t="shared" si="59"/>
        <v>500</v>
      </c>
      <c r="T573">
        <f t="shared" si="60"/>
        <v>97103882</v>
      </c>
      <c r="U573" t="s">
        <v>1488</v>
      </c>
    </row>
    <row r="574" spans="1:21" x14ac:dyDescent="0.2">
      <c r="A574" s="186" t="s">
        <v>150</v>
      </c>
      <c r="B574" s="128">
        <f t="shared" si="61"/>
        <v>93</v>
      </c>
      <c r="C574" s="128" t="s">
        <v>107</v>
      </c>
      <c r="D574" s="128" t="s">
        <v>359</v>
      </c>
      <c r="E574" s="127">
        <v>784</v>
      </c>
      <c r="F574" s="127">
        <v>87428683</v>
      </c>
      <c r="G574" s="127" t="s">
        <v>1643</v>
      </c>
      <c r="H574" s="187"/>
      <c r="I574" s="187"/>
      <c r="P574" t="str">
        <f t="shared" si="62"/>
        <v>VENEUX93</v>
      </c>
      <c r="Q574" t="str">
        <f t="shared" si="57"/>
        <v>MORILLON</v>
      </c>
      <c r="R574" t="str">
        <f t="shared" si="58"/>
        <v>Anne</v>
      </c>
      <c r="S574">
        <f t="shared" si="59"/>
        <v>784</v>
      </c>
      <c r="T574">
        <f t="shared" si="60"/>
        <v>87428683</v>
      </c>
      <c r="U574" t="s">
        <v>549</v>
      </c>
    </row>
    <row r="575" spans="1:21" x14ac:dyDescent="0.2">
      <c r="A575" s="186" t="s">
        <v>150</v>
      </c>
      <c r="B575" s="128">
        <f t="shared" si="61"/>
        <v>94</v>
      </c>
      <c r="C575" s="128" t="s">
        <v>107</v>
      </c>
      <c r="D575" s="128" t="s">
        <v>331</v>
      </c>
      <c r="E575" s="127">
        <v>536</v>
      </c>
      <c r="F575" s="127">
        <v>87428681</v>
      </c>
      <c r="G575" s="127" t="s">
        <v>1643</v>
      </c>
      <c r="H575" s="187"/>
      <c r="I575" s="187"/>
      <c r="P575" t="str">
        <f t="shared" si="62"/>
        <v>VENEUX94</v>
      </c>
      <c r="Q575" t="str">
        <f t="shared" si="57"/>
        <v>MORILLON</v>
      </c>
      <c r="R575" t="str">
        <f t="shared" si="58"/>
        <v>Francois</v>
      </c>
      <c r="S575">
        <f t="shared" si="59"/>
        <v>536</v>
      </c>
      <c r="T575">
        <f t="shared" si="60"/>
        <v>87428681</v>
      </c>
      <c r="U575" t="s">
        <v>550</v>
      </c>
    </row>
    <row r="576" spans="1:21" x14ac:dyDescent="0.2">
      <c r="A576" s="186" t="s">
        <v>150</v>
      </c>
      <c r="B576" s="128">
        <f t="shared" si="61"/>
        <v>95</v>
      </c>
      <c r="C576" s="128" t="s">
        <v>1923</v>
      </c>
      <c r="D576" s="128" t="s">
        <v>1924</v>
      </c>
      <c r="E576" s="127">
        <v>500</v>
      </c>
      <c r="F576" s="127">
        <v>97111492</v>
      </c>
      <c r="G576" s="127" t="s">
        <v>1643</v>
      </c>
      <c r="H576" s="187"/>
      <c r="I576" s="187"/>
      <c r="P576" t="str">
        <f t="shared" si="62"/>
        <v>VENEUX95</v>
      </c>
      <c r="Q576" t="str">
        <f t="shared" si="57"/>
        <v>MTIBAA</v>
      </c>
      <c r="R576" t="str">
        <f t="shared" si="58"/>
        <v>Marwen</v>
      </c>
      <c r="S576">
        <f t="shared" si="59"/>
        <v>500</v>
      </c>
      <c r="T576">
        <f t="shared" si="60"/>
        <v>97111492</v>
      </c>
      <c r="U576" t="s">
        <v>2002</v>
      </c>
    </row>
    <row r="577" spans="1:21" x14ac:dyDescent="0.2">
      <c r="A577" s="186" t="s">
        <v>150</v>
      </c>
      <c r="B577" s="128">
        <f t="shared" si="61"/>
        <v>96</v>
      </c>
      <c r="C577" s="128" t="s">
        <v>1923</v>
      </c>
      <c r="D577" s="128" t="s">
        <v>1298</v>
      </c>
      <c r="E577" s="127">
        <v>500</v>
      </c>
      <c r="F577" s="127">
        <v>97111493</v>
      </c>
      <c r="G577" s="127" t="s">
        <v>1643</v>
      </c>
      <c r="H577" s="187"/>
      <c r="I577" s="187"/>
      <c r="P577" t="str">
        <f t="shared" si="62"/>
        <v>VENEUX96</v>
      </c>
      <c r="Q577" t="str">
        <f t="shared" si="57"/>
        <v>MTIBAA</v>
      </c>
      <c r="R577" t="str">
        <f t="shared" si="58"/>
        <v>Mohamed</v>
      </c>
      <c r="S577">
        <f t="shared" si="59"/>
        <v>500</v>
      </c>
      <c r="T577">
        <f t="shared" si="60"/>
        <v>97111493</v>
      </c>
      <c r="U577" t="s">
        <v>2003</v>
      </c>
    </row>
    <row r="578" spans="1:21" x14ac:dyDescent="0.2">
      <c r="A578" s="186" t="s">
        <v>150</v>
      </c>
      <c r="B578" s="128">
        <f t="shared" si="61"/>
        <v>97</v>
      </c>
      <c r="C578" s="128" t="s">
        <v>1260</v>
      </c>
      <c r="D578" s="128" t="s">
        <v>1344</v>
      </c>
      <c r="E578" s="127">
        <v>500</v>
      </c>
      <c r="F578" s="127">
        <v>87467323</v>
      </c>
      <c r="G578" s="127" t="s">
        <v>1856</v>
      </c>
      <c r="H578" s="187"/>
      <c r="I578" s="187"/>
      <c r="P578" t="str">
        <f t="shared" si="62"/>
        <v>VENEUX97</v>
      </c>
      <c r="Q578" t="str">
        <f t="shared" si="57"/>
        <v>MUCKENSTURM</v>
      </c>
      <c r="R578" t="str">
        <f t="shared" si="58"/>
        <v>Niels</v>
      </c>
      <c r="S578">
        <f t="shared" si="59"/>
        <v>500</v>
      </c>
      <c r="T578">
        <f t="shared" si="60"/>
        <v>87467323</v>
      </c>
      <c r="U578" t="s">
        <v>1495</v>
      </c>
    </row>
    <row r="579" spans="1:21" x14ac:dyDescent="0.2">
      <c r="A579" s="186" t="s">
        <v>150</v>
      </c>
      <c r="B579" s="128">
        <f t="shared" si="61"/>
        <v>98</v>
      </c>
      <c r="C579" s="128" t="s">
        <v>1253</v>
      </c>
      <c r="D579" s="128" t="s">
        <v>301</v>
      </c>
      <c r="E579" s="127">
        <v>645</v>
      </c>
      <c r="F579" s="127">
        <v>97102255</v>
      </c>
      <c r="G579" s="127" t="s">
        <v>1643</v>
      </c>
      <c r="H579" s="187"/>
      <c r="I579" s="187"/>
      <c r="P579" t="str">
        <f t="shared" si="62"/>
        <v>VENEUX98</v>
      </c>
      <c r="Q579" t="str">
        <f t="shared" si="57"/>
        <v>NAUDET</v>
      </c>
      <c r="R579" t="str">
        <f t="shared" si="58"/>
        <v>David</v>
      </c>
      <c r="S579">
        <f t="shared" si="59"/>
        <v>645</v>
      </c>
      <c r="T579">
        <f t="shared" si="60"/>
        <v>97102255</v>
      </c>
      <c r="U579" t="s">
        <v>1487</v>
      </c>
    </row>
    <row r="580" spans="1:21" x14ac:dyDescent="0.2">
      <c r="A580" s="186" t="s">
        <v>150</v>
      </c>
      <c r="B580" s="128">
        <f t="shared" si="61"/>
        <v>99</v>
      </c>
      <c r="C580" s="128" t="s">
        <v>849</v>
      </c>
      <c r="D580" s="128" t="s">
        <v>1943</v>
      </c>
      <c r="E580" s="127">
        <v>737</v>
      </c>
      <c r="F580" s="127">
        <v>97093266</v>
      </c>
      <c r="G580" s="127" t="s">
        <v>1643</v>
      </c>
      <c r="H580" s="187"/>
      <c r="I580" s="187"/>
      <c r="P580" t="str">
        <f t="shared" si="62"/>
        <v>VENEUX99</v>
      </c>
      <c r="Q580" t="str">
        <f t="shared" si="57"/>
        <v>NUNES JORGE</v>
      </c>
      <c r="R580" t="str">
        <f t="shared" si="58"/>
        <v>Trisan</v>
      </c>
      <c r="S580">
        <f t="shared" si="59"/>
        <v>737</v>
      </c>
      <c r="T580">
        <f t="shared" si="60"/>
        <v>97093266</v>
      </c>
      <c r="U580" t="s">
        <v>909</v>
      </c>
    </row>
    <row r="581" spans="1:21" x14ac:dyDescent="0.2">
      <c r="A581" s="186" t="s">
        <v>150</v>
      </c>
      <c r="B581" s="128">
        <f t="shared" si="61"/>
        <v>100</v>
      </c>
      <c r="C581" s="128" t="s">
        <v>100</v>
      </c>
      <c r="D581" s="128" t="s">
        <v>292</v>
      </c>
      <c r="E581" s="127">
        <v>1251</v>
      </c>
      <c r="F581" s="127">
        <v>3552691</v>
      </c>
      <c r="G581" s="127" t="s">
        <v>1643</v>
      </c>
      <c r="H581" s="187"/>
      <c r="I581" s="187"/>
      <c r="P581" t="str">
        <f t="shared" si="62"/>
        <v>VENEUX100</v>
      </c>
      <c r="Q581" t="str">
        <f t="shared" si="57"/>
        <v>OLIVEIRA</v>
      </c>
      <c r="R581" t="str">
        <f t="shared" si="58"/>
        <v>Philippe</v>
      </c>
      <c r="S581">
        <f t="shared" si="59"/>
        <v>1251</v>
      </c>
      <c r="T581">
        <f t="shared" si="60"/>
        <v>3552691</v>
      </c>
      <c r="U581" t="s">
        <v>734</v>
      </c>
    </row>
    <row r="582" spans="1:21" x14ac:dyDescent="0.2">
      <c r="A582" s="186" t="s">
        <v>150</v>
      </c>
      <c r="B582" s="128">
        <f t="shared" si="61"/>
        <v>101</v>
      </c>
      <c r="C582" s="128" t="s">
        <v>100</v>
      </c>
      <c r="D582" s="128" t="s">
        <v>317</v>
      </c>
      <c r="E582" s="127">
        <v>1643</v>
      </c>
      <c r="F582" s="127">
        <v>87410197</v>
      </c>
      <c r="G582" s="127" t="s">
        <v>1643</v>
      </c>
      <c r="H582" s="187"/>
      <c r="I582" s="187"/>
      <c r="P582" t="str">
        <f t="shared" si="62"/>
        <v>VENEUX101</v>
      </c>
      <c r="Q582" t="str">
        <f t="shared" si="57"/>
        <v>OLIVEIRA</v>
      </c>
      <c r="R582" t="str">
        <f t="shared" si="58"/>
        <v>Thomas</v>
      </c>
      <c r="S582">
        <f t="shared" si="59"/>
        <v>1643</v>
      </c>
      <c r="T582">
        <f t="shared" si="60"/>
        <v>87410197</v>
      </c>
      <c r="U582" t="s">
        <v>551</v>
      </c>
    </row>
    <row r="583" spans="1:21" x14ac:dyDescent="0.2">
      <c r="A583" s="186" t="s">
        <v>150</v>
      </c>
      <c r="B583" s="128">
        <f t="shared" si="61"/>
        <v>102</v>
      </c>
      <c r="C583" s="128" t="s">
        <v>1605</v>
      </c>
      <c r="D583" s="128" t="s">
        <v>291</v>
      </c>
      <c r="E583" s="127">
        <v>500</v>
      </c>
      <c r="F583" s="127">
        <v>97108346</v>
      </c>
      <c r="G583" s="127" t="s">
        <v>1643</v>
      </c>
      <c r="H583" s="187"/>
      <c r="I583" s="187"/>
      <c r="P583" t="str">
        <f t="shared" si="62"/>
        <v>VENEUX102</v>
      </c>
      <c r="Q583" t="str">
        <f t="shared" si="57"/>
        <v>OZOG</v>
      </c>
      <c r="R583" t="str">
        <f t="shared" si="58"/>
        <v>Florian</v>
      </c>
      <c r="S583">
        <f t="shared" si="59"/>
        <v>500</v>
      </c>
      <c r="T583">
        <f t="shared" si="60"/>
        <v>97108346</v>
      </c>
      <c r="U583" t="s">
        <v>1621</v>
      </c>
    </row>
    <row r="584" spans="1:21" x14ac:dyDescent="0.2">
      <c r="A584" s="186" t="s">
        <v>150</v>
      </c>
      <c r="B584" s="128">
        <f t="shared" si="61"/>
        <v>103</v>
      </c>
      <c r="C584" s="128" t="s">
        <v>247</v>
      </c>
      <c r="D584" s="128" t="s">
        <v>360</v>
      </c>
      <c r="E584" s="127">
        <v>500</v>
      </c>
      <c r="F584" s="127">
        <v>87465605</v>
      </c>
      <c r="G584" s="127" t="s">
        <v>1643</v>
      </c>
      <c r="H584" s="187"/>
      <c r="I584" s="187"/>
      <c r="P584" t="str">
        <f t="shared" si="62"/>
        <v>VENEUX103</v>
      </c>
      <c r="Q584" t="str">
        <f t="shared" si="57"/>
        <v>PEREIRA ALAOUI</v>
      </c>
      <c r="R584" t="str">
        <f t="shared" si="58"/>
        <v>Adam</v>
      </c>
      <c r="S584">
        <f t="shared" si="59"/>
        <v>500</v>
      </c>
      <c r="T584">
        <f t="shared" si="60"/>
        <v>87465605</v>
      </c>
      <c r="U584" t="s">
        <v>552</v>
      </c>
    </row>
    <row r="585" spans="1:21" x14ac:dyDescent="0.2">
      <c r="A585" s="186" t="s">
        <v>150</v>
      </c>
      <c r="B585" s="128">
        <f t="shared" si="61"/>
        <v>104</v>
      </c>
      <c r="C585" s="128" t="s">
        <v>2059</v>
      </c>
      <c r="D585" s="128" t="s">
        <v>303</v>
      </c>
      <c r="E585" s="127">
        <v>500</v>
      </c>
      <c r="F585" s="127">
        <v>97113450</v>
      </c>
      <c r="G585" s="127" t="s">
        <v>1643</v>
      </c>
      <c r="H585" s="187"/>
      <c r="I585" s="187"/>
      <c r="P585" t="str">
        <f t="shared" si="62"/>
        <v>VENEUX104</v>
      </c>
      <c r="Q585" t="str">
        <f t="shared" si="57"/>
        <v>PEREIRA MARTINS SERRAO</v>
      </c>
      <c r="R585" t="str">
        <f t="shared" si="58"/>
        <v>Lucas</v>
      </c>
      <c r="S585">
        <f t="shared" si="59"/>
        <v>500</v>
      </c>
      <c r="T585">
        <f t="shared" si="60"/>
        <v>97113450</v>
      </c>
      <c r="U585" t="s">
        <v>2061</v>
      </c>
    </row>
    <row r="586" spans="1:21" x14ac:dyDescent="0.2">
      <c r="A586" s="186" t="s">
        <v>150</v>
      </c>
      <c r="B586" s="128">
        <f t="shared" si="61"/>
        <v>105</v>
      </c>
      <c r="C586" s="128" t="s">
        <v>940</v>
      </c>
      <c r="D586" s="128" t="s">
        <v>569</v>
      </c>
      <c r="E586" s="127">
        <v>500</v>
      </c>
      <c r="F586" s="127">
        <v>87457311</v>
      </c>
      <c r="G586" s="127" t="s">
        <v>1856</v>
      </c>
      <c r="H586" s="187"/>
      <c r="I586" s="187"/>
      <c r="P586" t="str">
        <f t="shared" si="62"/>
        <v>VENEUX105</v>
      </c>
      <c r="Q586" t="str">
        <f t="shared" ref="Q586:Q649" si="63">C586</f>
        <v>PETIT</v>
      </c>
      <c r="R586" t="str">
        <f t="shared" ref="R586:R649" si="64">D586</f>
        <v>Maxence</v>
      </c>
      <c r="S586">
        <f t="shared" ref="S586:S649" si="65">E586</f>
        <v>500</v>
      </c>
      <c r="T586">
        <f t="shared" ref="T586:T649" si="66">F586</f>
        <v>87457311</v>
      </c>
      <c r="U586" t="s">
        <v>1582</v>
      </c>
    </row>
    <row r="587" spans="1:21" x14ac:dyDescent="0.2">
      <c r="A587" s="186" t="s">
        <v>150</v>
      </c>
      <c r="B587" s="128">
        <f t="shared" si="61"/>
        <v>106</v>
      </c>
      <c r="C587" s="128" t="s">
        <v>1925</v>
      </c>
      <c r="D587" s="128" t="s">
        <v>1926</v>
      </c>
      <c r="E587" s="127">
        <v>500</v>
      </c>
      <c r="F587" s="127">
        <v>55365268</v>
      </c>
      <c r="G587" s="127" t="s">
        <v>1643</v>
      </c>
      <c r="H587" s="187"/>
      <c r="I587" s="187"/>
      <c r="P587" t="str">
        <f t="shared" si="62"/>
        <v>VENEUX106</v>
      </c>
      <c r="Q587" t="str">
        <f t="shared" si="63"/>
        <v>PROUVAY</v>
      </c>
      <c r="R587" t="str">
        <f t="shared" si="64"/>
        <v>Florent</v>
      </c>
      <c r="S587">
        <f t="shared" si="65"/>
        <v>500</v>
      </c>
      <c r="T587">
        <f t="shared" si="66"/>
        <v>55365268</v>
      </c>
      <c r="U587" t="s">
        <v>2004</v>
      </c>
    </row>
    <row r="588" spans="1:21" x14ac:dyDescent="0.2">
      <c r="A588" s="186" t="s">
        <v>150</v>
      </c>
      <c r="B588" s="128">
        <f t="shared" si="61"/>
        <v>107</v>
      </c>
      <c r="C588" s="128" t="s">
        <v>1925</v>
      </c>
      <c r="D588" s="128" t="s">
        <v>321</v>
      </c>
      <c r="E588" s="127">
        <v>500</v>
      </c>
      <c r="F588" s="127">
        <v>97060170</v>
      </c>
      <c r="G588" s="127" t="s">
        <v>1643</v>
      </c>
      <c r="H588" s="187"/>
      <c r="I588" s="187"/>
      <c r="P588" t="str">
        <f t="shared" si="62"/>
        <v>VENEUX107</v>
      </c>
      <c r="Q588" t="str">
        <f t="shared" si="63"/>
        <v>PROUVAY</v>
      </c>
      <c r="R588" t="str">
        <f t="shared" si="64"/>
        <v>Jean</v>
      </c>
      <c r="S588">
        <f t="shared" si="65"/>
        <v>500</v>
      </c>
      <c r="T588">
        <f t="shared" si="66"/>
        <v>97060170</v>
      </c>
      <c r="U588" t="s">
        <v>2005</v>
      </c>
    </row>
    <row r="589" spans="1:21" x14ac:dyDescent="0.2">
      <c r="A589" s="186" t="s">
        <v>150</v>
      </c>
      <c r="B589" s="128">
        <f t="shared" si="61"/>
        <v>108</v>
      </c>
      <c r="C589" s="128" t="s">
        <v>1920</v>
      </c>
      <c r="D589" s="128" t="s">
        <v>1921</v>
      </c>
      <c r="E589" s="127">
        <v>500</v>
      </c>
      <c r="F589" s="127">
        <v>97111494</v>
      </c>
      <c r="G589" s="127" t="s">
        <v>1643</v>
      </c>
      <c r="H589" s="187"/>
      <c r="I589" s="187"/>
      <c r="P589" t="str">
        <f t="shared" si="62"/>
        <v>VENEUX108</v>
      </c>
      <c r="Q589" t="str">
        <f t="shared" si="63"/>
        <v>ROBIN</v>
      </c>
      <c r="R589" t="str">
        <f t="shared" si="64"/>
        <v>Evann</v>
      </c>
      <c r="S589">
        <f t="shared" si="65"/>
        <v>500</v>
      </c>
      <c r="T589">
        <f t="shared" si="66"/>
        <v>97111494</v>
      </c>
      <c r="U589" t="s">
        <v>2006</v>
      </c>
    </row>
    <row r="590" spans="1:21" x14ac:dyDescent="0.2">
      <c r="A590" s="186" t="s">
        <v>150</v>
      </c>
      <c r="B590" s="128">
        <f t="shared" si="61"/>
        <v>109</v>
      </c>
      <c r="C590" s="128" t="s">
        <v>1920</v>
      </c>
      <c r="D590" s="128" t="s">
        <v>1922</v>
      </c>
      <c r="E590" s="127">
        <v>500</v>
      </c>
      <c r="F590" s="127">
        <v>97056353</v>
      </c>
      <c r="G590" s="127" t="s">
        <v>1643</v>
      </c>
      <c r="H590" s="187"/>
      <c r="I590" s="187"/>
      <c r="P590" t="str">
        <f t="shared" si="62"/>
        <v>VENEUX109</v>
      </c>
      <c r="Q590" t="str">
        <f t="shared" si="63"/>
        <v>ROBIN</v>
      </c>
      <c r="R590" t="str">
        <f t="shared" si="64"/>
        <v>Malone</v>
      </c>
      <c r="S590">
        <f t="shared" si="65"/>
        <v>500</v>
      </c>
      <c r="T590">
        <f t="shared" si="66"/>
        <v>97056353</v>
      </c>
      <c r="U590" t="s">
        <v>2007</v>
      </c>
    </row>
    <row r="591" spans="1:21" x14ac:dyDescent="0.2">
      <c r="A591" s="186" t="s">
        <v>150</v>
      </c>
      <c r="B591" s="128">
        <f t="shared" si="61"/>
        <v>110</v>
      </c>
      <c r="C591" s="128" t="s">
        <v>120</v>
      </c>
      <c r="D591" s="128" t="s">
        <v>575</v>
      </c>
      <c r="E591" s="127">
        <v>500</v>
      </c>
      <c r="F591" s="127">
        <v>97080323</v>
      </c>
      <c r="G591" s="127" t="s">
        <v>1856</v>
      </c>
      <c r="H591" s="187"/>
      <c r="I591" s="187"/>
      <c r="P591" t="str">
        <f t="shared" si="62"/>
        <v>VENEUX110</v>
      </c>
      <c r="Q591" t="str">
        <f t="shared" si="63"/>
        <v>RODRIGUES</v>
      </c>
      <c r="R591" t="str">
        <f t="shared" si="64"/>
        <v>Louis</v>
      </c>
      <c r="S591">
        <f t="shared" si="65"/>
        <v>500</v>
      </c>
      <c r="T591">
        <f t="shared" si="66"/>
        <v>97080323</v>
      </c>
      <c r="U591" t="s">
        <v>621</v>
      </c>
    </row>
    <row r="592" spans="1:21" x14ac:dyDescent="0.2">
      <c r="A592" s="186" t="s">
        <v>150</v>
      </c>
      <c r="B592" s="128">
        <f t="shared" si="61"/>
        <v>111</v>
      </c>
      <c r="C592" s="128" t="s">
        <v>120</v>
      </c>
      <c r="D592" s="128" t="s">
        <v>306</v>
      </c>
      <c r="E592" s="127">
        <v>952</v>
      </c>
      <c r="F592" s="127">
        <v>87456624</v>
      </c>
      <c r="G592" s="127" t="s">
        <v>1643</v>
      </c>
      <c r="H592" s="187"/>
      <c r="I592" s="187"/>
      <c r="P592" t="str">
        <f t="shared" si="62"/>
        <v>VENEUX111</v>
      </c>
      <c r="Q592" t="str">
        <f t="shared" si="63"/>
        <v>RODRIGUES</v>
      </c>
      <c r="R592" t="str">
        <f t="shared" si="64"/>
        <v>Valentin</v>
      </c>
      <c r="S592">
        <f t="shared" si="65"/>
        <v>952</v>
      </c>
      <c r="T592">
        <f t="shared" si="66"/>
        <v>87456624</v>
      </c>
      <c r="U592" t="s">
        <v>566</v>
      </c>
    </row>
    <row r="593" spans="1:21" x14ac:dyDescent="0.2">
      <c r="A593" s="186" t="s">
        <v>150</v>
      </c>
      <c r="B593" s="128">
        <f t="shared" si="61"/>
        <v>112</v>
      </c>
      <c r="C593" s="128" t="s">
        <v>796</v>
      </c>
      <c r="D593" s="128" t="s">
        <v>801</v>
      </c>
      <c r="E593" s="127">
        <v>541</v>
      </c>
      <c r="F593" s="127">
        <v>97090233</v>
      </c>
      <c r="G593" s="127" t="s">
        <v>1643</v>
      </c>
      <c r="H593" s="187"/>
      <c r="I593" s="187"/>
      <c r="P593" t="str">
        <f t="shared" si="62"/>
        <v>VENEUX112</v>
      </c>
      <c r="Q593" t="str">
        <f t="shared" si="63"/>
        <v>RUS</v>
      </c>
      <c r="R593" t="str">
        <f t="shared" si="64"/>
        <v>Claudiu</v>
      </c>
      <c r="S593">
        <f t="shared" si="65"/>
        <v>541</v>
      </c>
      <c r="T593">
        <f t="shared" si="66"/>
        <v>97090233</v>
      </c>
      <c r="U593" t="s">
        <v>809</v>
      </c>
    </row>
    <row r="594" spans="1:21" x14ac:dyDescent="0.2">
      <c r="A594" s="186" t="s">
        <v>150</v>
      </c>
      <c r="B594" s="128">
        <f t="shared" si="61"/>
        <v>113</v>
      </c>
      <c r="C594" s="128" t="s">
        <v>1258</v>
      </c>
      <c r="D594" s="128" t="s">
        <v>297</v>
      </c>
      <c r="E594" s="127">
        <v>500</v>
      </c>
      <c r="F594" s="127">
        <v>97105771</v>
      </c>
      <c r="G594" s="127" t="s">
        <v>1643</v>
      </c>
      <c r="H594" s="187"/>
      <c r="I594" s="187"/>
      <c r="P594" t="str">
        <f t="shared" si="62"/>
        <v>VENEUX113</v>
      </c>
      <c r="Q594" t="str">
        <f t="shared" si="63"/>
        <v>SABATHIER</v>
      </c>
      <c r="R594" t="str">
        <f t="shared" si="64"/>
        <v>Nicolas</v>
      </c>
      <c r="S594">
        <f t="shared" si="65"/>
        <v>500</v>
      </c>
      <c r="T594">
        <f t="shared" si="66"/>
        <v>97105771</v>
      </c>
      <c r="U594" t="s">
        <v>1492</v>
      </c>
    </row>
    <row r="595" spans="1:21" x14ac:dyDescent="0.2">
      <c r="A595" s="186" t="s">
        <v>150</v>
      </c>
      <c r="B595" s="128">
        <f t="shared" si="61"/>
        <v>114</v>
      </c>
      <c r="C595" s="128" t="s">
        <v>1951</v>
      </c>
      <c r="D595" s="128" t="s">
        <v>1952</v>
      </c>
      <c r="E595" s="127">
        <v>500</v>
      </c>
      <c r="F595" s="127">
        <v>97111883</v>
      </c>
      <c r="G595" s="127" t="s">
        <v>1643</v>
      </c>
      <c r="H595" s="187"/>
      <c r="I595" s="187"/>
      <c r="P595" t="str">
        <f t="shared" si="62"/>
        <v>VENEUX114</v>
      </c>
      <c r="Q595" t="str">
        <f t="shared" si="63"/>
        <v>SADOUX</v>
      </c>
      <c r="R595" t="str">
        <f t="shared" si="64"/>
        <v>Marjorie</v>
      </c>
      <c r="S595">
        <f t="shared" si="65"/>
        <v>500</v>
      </c>
      <c r="T595">
        <f t="shared" si="66"/>
        <v>97111883</v>
      </c>
      <c r="U595" t="s">
        <v>2008</v>
      </c>
    </row>
    <row r="596" spans="1:21" x14ac:dyDescent="0.2">
      <c r="A596" s="186" t="s">
        <v>150</v>
      </c>
      <c r="B596" s="128">
        <f t="shared" si="61"/>
        <v>115</v>
      </c>
      <c r="C596" s="128" t="s">
        <v>1932</v>
      </c>
      <c r="D596" s="128" t="s">
        <v>322</v>
      </c>
      <c r="E596" s="127">
        <v>500</v>
      </c>
      <c r="F596" s="127">
        <v>97067455</v>
      </c>
      <c r="G596" s="127" t="s">
        <v>1643</v>
      </c>
      <c r="H596" s="187"/>
      <c r="I596" s="187"/>
      <c r="P596" t="str">
        <f t="shared" si="62"/>
        <v>VENEUX115</v>
      </c>
      <c r="Q596" t="str">
        <f t="shared" si="63"/>
        <v>SEGUI</v>
      </c>
      <c r="R596" t="str">
        <f t="shared" si="64"/>
        <v>Nathan</v>
      </c>
      <c r="S596">
        <f t="shared" si="65"/>
        <v>500</v>
      </c>
      <c r="T596">
        <f t="shared" si="66"/>
        <v>97067455</v>
      </c>
      <c r="U596" t="s">
        <v>2009</v>
      </c>
    </row>
    <row r="597" spans="1:21" x14ac:dyDescent="0.2">
      <c r="A597" s="186" t="s">
        <v>150</v>
      </c>
      <c r="B597" s="128">
        <f t="shared" si="61"/>
        <v>116</v>
      </c>
      <c r="C597" s="128" t="s">
        <v>716</v>
      </c>
      <c r="D597" s="128" t="s">
        <v>297</v>
      </c>
      <c r="E597" s="127">
        <v>680</v>
      </c>
      <c r="F597" s="127">
        <v>97065884</v>
      </c>
      <c r="G597" s="127" t="s">
        <v>1643</v>
      </c>
      <c r="H597" s="187"/>
      <c r="I597" s="187"/>
      <c r="P597" t="str">
        <f t="shared" si="62"/>
        <v>VENEUX116</v>
      </c>
      <c r="Q597" t="str">
        <f t="shared" si="63"/>
        <v>SIHLE</v>
      </c>
      <c r="R597" t="str">
        <f t="shared" si="64"/>
        <v>Nicolas</v>
      </c>
      <c r="S597">
        <f t="shared" si="65"/>
        <v>680</v>
      </c>
      <c r="T597">
        <f t="shared" si="66"/>
        <v>97065884</v>
      </c>
      <c r="U597" t="s">
        <v>735</v>
      </c>
    </row>
    <row r="598" spans="1:21" x14ac:dyDescent="0.2">
      <c r="A598" s="186" t="s">
        <v>150</v>
      </c>
      <c r="B598" s="128">
        <f t="shared" si="61"/>
        <v>117</v>
      </c>
      <c r="C598" s="128" t="s">
        <v>597</v>
      </c>
      <c r="D598" s="128" t="s">
        <v>601</v>
      </c>
      <c r="E598" s="127">
        <v>500</v>
      </c>
      <c r="F598" s="127">
        <v>97077566</v>
      </c>
      <c r="G598" s="127" t="s">
        <v>1643</v>
      </c>
      <c r="H598" s="187"/>
      <c r="I598" s="187"/>
      <c r="P598" t="str">
        <f t="shared" si="62"/>
        <v>VENEUX117</v>
      </c>
      <c r="Q598" t="str">
        <f t="shared" si="63"/>
        <v>SMILA</v>
      </c>
      <c r="R598" t="str">
        <f t="shared" si="64"/>
        <v>Noha</v>
      </c>
      <c r="S598">
        <f t="shared" si="65"/>
        <v>500</v>
      </c>
      <c r="T598">
        <f t="shared" si="66"/>
        <v>97077566</v>
      </c>
      <c r="U598" t="s">
        <v>607</v>
      </c>
    </row>
    <row r="599" spans="1:21" x14ac:dyDescent="0.2">
      <c r="A599" s="186" t="s">
        <v>150</v>
      </c>
      <c r="B599" s="128">
        <f t="shared" si="61"/>
        <v>118</v>
      </c>
      <c r="C599" s="128" t="s">
        <v>103</v>
      </c>
      <c r="D599" s="128" t="s">
        <v>361</v>
      </c>
      <c r="E599" s="127">
        <v>1095</v>
      </c>
      <c r="F599" s="127">
        <v>55359574</v>
      </c>
      <c r="G599" s="127" t="s">
        <v>1643</v>
      </c>
      <c r="H599" s="187"/>
      <c r="I599" s="187"/>
      <c r="P599" t="str">
        <f t="shared" si="62"/>
        <v>VENEUX118</v>
      </c>
      <c r="Q599" t="str">
        <f t="shared" si="63"/>
        <v>SOUCHARD</v>
      </c>
      <c r="R599" t="str">
        <f t="shared" si="64"/>
        <v>Eloi</v>
      </c>
      <c r="S599">
        <f t="shared" si="65"/>
        <v>1095</v>
      </c>
      <c r="T599">
        <f t="shared" si="66"/>
        <v>55359574</v>
      </c>
      <c r="U599" t="s">
        <v>554</v>
      </c>
    </row>
    <row r="600" spans="1:21" x14ac:dyDescent="0.2">
      <c r="A600" s="186" t="s">
        <v>150</v>
      </c>
      <c r="B600" s="128">
        <f t="shared" si="61"/>
        <v>119</v>
      </c>
      <c r="C600" s="128" t="s">
        <v>1933</v>
      </c>
      <c r="D600" s="128" t="s">
        <v>1934</v>
      </c>
      <c r="E600" s="127">
        <v>500</v>
      </c>
      <c r="F600" s="127">
        <v>97110893</v>
      </c>
      <c r="G600" s="127" t="s">
        <v>1643</v>
      </c>
      <c r="H600" s="187"/>
      <c r="I600" s="187"/>
      <c r="P600" t="str">
        <f t="shared" si="62"/>
        <v>VENEUX119</v>
      </c>
      <c r="Q600" t="str">
        <f t="shared" si="63"/>
        <v>STAN</v>
      </c>
      <c r="R600" t="str">
        <f t="shared" si="64"/>
        <v>Darius</v>
      </c>
      <c r="S600">
        <f t="shared" si="65"/>
        <v>500</v>
      </c>
      <c r="T600">
        <f t="shared" si="66"/>
        <v>97110893</v>
      </c>
      <c r="U600" t="s">
        <v>2010</v>
      </c>
    </row>
    <row r="601" spans="1:21" x14ac:dyDescent="0.2">
      <c r="A601" s="186" t="s">
        <v>150</v>
      </c>
      <c r="B601" s="128">
        <f t="shared" si="61"/>
        <v>120</v>
      </c>
      <c r="C601" s="128" t="s">
        <v>753</v>
      </c>
      <c r="D601" s="128" t="s">
        <v>615</v>
      </c>
      <c r="E601" s="127">
        <v>500</v>
      </c>
      <c r="F601" s="127">
        <v>87411810</v>
      </c>
      <c r="G601" s="127" t="s">
        <v>1643</v>
      </c>
      <c r="H601" s="187"/>
      <c r="I601" s="187"/>
      <c r="P601" t="str">
        <f t="shared" si="62"/>
        <v>VENEUX120</v>
      </c>
      <c r="Q601" t="str">
        <f t="shared" si="63"/>
        <v>TAYMANS</v>
      </c>
      <c r="R601" t="str">
        <f t="shared" si="64"/>
        <v>Jérôme</v>
      </c>
      <c r="S601">
        <f t="shared" si="65"/>
        <v>500</v>
      </c>
      <c r="T601">
        <f t="shared" si="66"/>
        <v>87411810</v>
      </c>
      <c r="U601" t="s">
        <v>791</v>
      </c>
    </row>
    <row r="602" spans="1:21" x14ac:dyDescent="0.2">
      <c r="A602" s="186" t="s">
        <v>150</v>
      </c>
      <c r="B602" s="128">
        <f t="shared" si="61"/>
        <v>121</v>
      </c>
      <c r="C602" s="128" t="s">
        <v>45</v>
      </c>
      <c r="D602" s="128" t="s">
        <v>366</v>
      </c>
      <c r="E602" s="127">
        <v>826</v>
      </c>
      <c r="F602" s="127">
        <v>87421176</v>
      </c>
      <c r="G602" s="127" t="s">
        <v>1643</v>
      </c>
      <c r="H602" s="187"/>
      <c r="I602" s="187"/>
      <c r="P602" t="str">
        <f t="shared" si="62"/>
        <v>VENEUX121</v>
      </c>
      <c r="Q602" t="str">
        <f t="shared" si="63"/>
        <v>VALENTIN</v>
      </c>
      <c r="R602" t="str">
        <f t="shared" si="64"/>
        <v>Titouan</v>
      </c>
      <c r="S602">
        <f t="shared" si="65"/>
        <v>826</v>
      </c>
      <c r="T602">
        <f t="shared" si="66"/>
        <v>87421176</v>
      </c>
      <c r="U602" t="s">
        <v>555</v>
      </c>
    </row>
    <row r="603" spans="1:21" x14ac:dyDescent="0.2">
      <c r="A603" s="186" t="s">
        <v>150</v>
      </c>
      <c r="B603" s="128">
        <f t="shared" si="61"/>
        <v>122</v>
      </c>
      <c r="C603" s="128" t="s">
        <v>1539</v>
      </c>
      <c r="D603" s="128" t="s">
        <v>284</v>
      </c>
      <c r="E603" s="127">
        <v>500</v>
      </c>
      <c r="F603" s="127">
        <v>97108235</v>
      </c>
      <c r="G603" s="127" t="s">
        <v>1856</v>
      </c>
      <c r="H603" s="187"/>
      <c r="I603" s="187"/>
      <c r="P603" t="str">
        <f t="shared" si="62"/>
        <v>VENEUX122</v>
      </c>
      <c r="Q603" t="str">
        <f t="shared" si="63"/>
        <v>VANMEENEN</v>
      </c>
      <c r="R603" t="str">
        <f t="shared" si="64"/>
        <v>Vincent</v>
      </c>
      <c r="S603">
        <f t="shared" si="65"/>
        <v>500</v>
      </c>
      <c r="T603">
        <f t="shared" si="66"/>
        <v>97108235</v>
      </c>
      <c r="U603" t="s">
        <v>1583</v>
      </c>
    </row>
    <row r="604" spans="1:21" x14ac:dyDescent="0.2">
      <c r="A604" s="186" t="s">
        <v>150</v>
      </c>
      <c r="B604" s="128">
        <f t="shared" si="61"/>
        <v>123</v>
      </c>
      <c r="C604" s="128" t="s">
        <v>1946</v>
      </c>
      <c r="D604" s="128" t="s">
        <v>1947</v>
      </c>
      <c r="E604" s="127">
        <v>500</v>
      </c>
      <c r="F604" s="127">
        <v>97111495</v>
      </c>
      <c r="G604" s="127" t="s">
        <v>1643</v>
      </c>
      <c r="H604" s="187"/>
      <c r="I604" s="187"/>
      <c r="P604" t="str">
        <f t="shared" si="62"/>
        <v>VENEUX123</v>
      </c>
      <c r="Q604" t="str">
        <f t="shared" si="63"/>
        <v>VEINIERE</v>
      </c>
      <c r="R604" t="str">
        <f t="shared" si="64"/>
        <v>Achille</v>
      </c>
      <c r="S604">
        <f t="shared" si="65"/>
        <v>500</v>
      </c>
      <c r="T604">
        <f t="shared" si="66"/>
        <v>97111495</v>
      </c>
      <c r="U604" t="s">
        <v>2011</v>
      </c>
    </row>
    <row r="605" spans="1:21" x14ac:dyDescent="0.2">
      <c r="A605" s="186" t="s">
        <v>150</v>
      </c>
      <c r="B605" s="128">
        <f t="shared" si="61"/>
        <v>124</v>
      </c>
      <c r="C605" s="128" t="s">
        <v>439</v>
      </c>
      <c r="D605" s="128" t="s">
        <v>1748</v>
      </c>
      <c r="E605" s="127">
        <v>500</v>
      </c>
      <c r="F605" s="127">
        <v>97109574</v>
      </c>
      <c r="G605" s="127" t="s">
        <v>1643</v>
      </c>
      <c r="H605" s="187"/>
      <c r="I605" s="187"/>
      <c r="P605" t="str">
        <f t="shared" si="62"/>
        <v>VENEUX124</v>
      </c>
      <c r="Q605" t="str">
        <f t="shared" si="63"/>
        <v>VILLAIN</v>
      </c>
      <c r="R605" t="str">
        <f t="shared" si="64"/>
        <v>Jean-Louis</v>
      </c>
      <c r="S605">
        <f t="shared" si="65"/>
        <v>500</v>
      </c>
      <c r="T605">
        <f t="shared" si="66"/>
        <v>97109574</v>
      </c>
      <c r="U605" t="s">
        <v>1750</v>
      </c>
    </row>
    <row r="606" spans="1:21" x14ac:dyDescent="0.2">
      <c r="A606" s="186" t="s">
        <v>150</v>
      </c>
      <c r="B606" s="128">
        <f t="shared" si="61"/>
        <v>125</v>
      </c>
      <c r="C606" s="128" t="s">
        <v>105</v>
      </c>
      <c r="D606" s="128" t="s">
        <v>313</v>
      </c>
      <c r="E606" s="127">
        <v>933</v>
      </c>
      <c r="F606" s="127">
        <v>87409325</v>
      </c>
      <c r="G606" s="127" t="s">
        <v>1643</v>
      </c>
      <c r="H606" s="187"/>
      <c r="I606" s="187"/>
      <c r="P606" t="str">
        <f t="shared" si="62"/>
        <v>VENEUX125</v>
      </c>
      <c r="Q606" t="str">
        <f t="shared" si="63"/>
        <v>WALIGORA</v>
      </c>
      <c r="R606" t="str">
        <f t="shared" si="64"/>
        <v>Emmanuel</v>
      </c>
      <c r="S606">
        <f t="shared" si="65"/>
        <v>933</v>
      </c>
      <c r="T606">
        <f t="shared" si="66"/>
        <v>87409325</v>
      </c>
      <c r="U606" t="s">
        <v>556</v>
      </c>
    </row>
    <row r="607" spans="1:21" x14ac:dyDescent="0.2">
      <c r="A607" s="186" t="s">
        <v>150</v>
      </c>
      <c r="B607" s="128">
        <f t="shared" si="61"/>
        <v>126</v>
      </c>
      <c r="C607" s="128" t="s">
        <v>1077</v>
      </c>
      <c r="D607" s="128" t="s">
        <v>1095</v>
      </c>
      <c r="E607" s="127">
        <v>500</v>
      </c>
      <c r="F607" s="127">
        <v>97101623</v>
      </c>
      <c r="G607" s="127" t="s">
        <v>1856</v>
      </c>
      <c r="H607" s="187"/>
      <c r="I607" s="187"/>
      <c r="P607" t="str">
        <f t="shared" si="62"/>
        <v>VENEUX126</v>
      </c>
      <c r="Q607" t="str">
        <f t="shared" si="63"/>
        <v>WANG</v>
      </c>
      <c r="R607" t="str">
        <f t="shared" si="64"/>
        <v>Hong</v>
      </c>
      <c r="S607">
        <f t="shared" si="65"/>
        <v>500</v>
      </c>
      <c r="T607">
        <f t="shared" si="66"/>
        <v>97101623</v>
      </c>
      <c r="U607" t="s">
        <v>1121</v>
      </c>
    </row>
    <row r="608" spans="1:21" x14ac:dyDescent="0.2">
      <c r="A608" s="186" t="s">
        <v>150</v>
      </c>
      <c r="B608" s="128">
        <f t="shared" si="61"/>
        <v>127</v>
      </c>
      <c r="C608" s="128" t="s">
        <v>1935</v>
      </c>
      <c r="D608" s="128" t="s">
        <v>291</v>
      </c>
      <c r="E608" s="127">
        <v>500</v>
      </c>
      <c r="F608" s="127">
        <v>97110998</v>
      </c>
      <c r="G608" s="127" t="s">
        <v>1643</v>
      </c>
      <c r="H608" s="187"/>
      <c r="I608" s="187"/>
      <c r="P608" t="str">
        <f t="shared" si="62"/>
        <v>VENEUX127</v>
      </c>
      <c r="Q608" t="str">
        <f t="shared" si="63"/>
        <v>WUITHIER</v>
      </c>
      <c r="R608" t="str">
        <f t="shared" si="64"/>
        <v>Florian</v>
      </c>
      <c r="S608">
        <f t="shared" si="65"/>
        <v>500</v>
      </c>
      <c r="T608">
        <f t="shared" si="66"/>
        <v>97110998</v>
      </c>
      <c r="U608" t="s">
        <v>2012</v>
      </c>
    </row>
    <row r="609" spans="1:21" x14ac:dyDescent="0.2">
      <c r="A609" s="186" t="s">
        <v>150</v>
      </c>
      <c r="B609" s="128">
        <f t="shared" si="61"/>
        <v>128</v>
      </c>
      <c r="C609" s="128" t="s">
        <v>109</v>
      </c>
      <c r="D609" s="128" t="s">
        <v>362</v>
      </c>
      <c r="E609" s="127">
        <v>946</v>
      </c>
      <c r="F609" s="127">
        <v>87446311</v>
      </c>
      <c r="G609" s="127" t="s">
        <v>1643</v>
      </c>
      <c r="H609" s="187"/>
      <c r="I609" s="187"/>
      <c r="P609" t="str">
        <f t="shared" si="62"/>
        <v>VENEUX128</v>
      </c>
      <c r="Q609" t="str">
        <f t="shared" si="63"/>
        <v>ZHOU</v>
      </c>
      <c r="R609" t="str">
        <f t="shared" si="64"/>
        <v>Zhiyang</v>
      </c>
      <c r="S609">
        <f t="shared" si="65"/>
        <v>946</v>
      </c>
      <c r="T609">
        <f t="shared" si="66"/>
        <v>87446311</v>
      </c>
      <c r="U609" t="s">
        <v>557</v>
      </c>
    </row>
    <row r="610" spans="1:21" hidden="1" x14ac:dyDescent="0.2">
      <c r="A610" s="186" t="s">
        <v>137</v>
      </c>
      <c r="B610" s="128">
        <f t="shared" si="61"/>
        <v>1</v>
      </c>
      <c r="C610" s="128" t="s">
        <v>1083</v>
      </c>
      <c r="D610" s="128" t="s">
        <v>281</v>
      </c>
      <c r="E610" s="127">
        <v>500</v>
      </c>
      <c r="F610" s="127">
        <v>97102063</v>
      </c>
      <c r="G610" s="127" t="s">
        <v>1643</v>
      </c>
      <c r="H610" s="187"/>
      <c r="I610" s="187"/>
      <c r="P610" t="str">
        <f t="shared" si="62"/>
        <v>VILLEMER1</v>
      </c>
      <c r="Q610" t="str">
        <f t="shared" si="63"/>
        <v>AUJARD POIRIER</v>
      </c>
      <c r="R610" t="str">
        <f t="shared" si="64"/>
        <v>Nathalie</v>
      </c>
      <c r="S610">
        <f t="shared" si="65"/>
        <v>500</v>
      </c>
      <c r="T610">
        <f t="shared" si="66"/>
        <v>97102063</v>
      </c>
      <c r="U610" t="s">
        <v>1128</v>
      </c>
    </row>
    <row r="611" spans="1:21" hidden="1" x14ac:dyDescent="0.2">
      <c r="A611" s="186" t="s">
        <v>137</v>
      </c>
      <c r="B611" s="128">
        <f t="shared" si="61"/>
        <v>2</v>
      </c>
      <c r="C611" s="128" t="s">
        <v>1082</v>
      </c>
      <c r="D611" s="128" t="s">
        <v>292</v>
      </c>
      <c r="E611" s="127">
        <v>500</v>
      </c>
      <c r="F611" s="127">
        <v>97054871</v>
      </c>
      <c r="G611" s="127" t="s">
        <v>1856</v>
      </c>
      <c r="H611" s="187"/>
      <c r="I611" s="187"/>
      <c r="P611" t="str">
        <f t="shared" si="62"/>
        <v>VILLEMER2</v>
      </c>
      <c r="Q611" t="str">
        <f t="shared" si="63"/>
        <v>BIDAUT</v>
      </c>
      <c r="R611" t="str">
        <f t="shared" si="64"/>
        <v>Philippe</v>
      </c>
      <c r="S611">
        <f t="shared" si="65"/>
        <v>500</v>
      </c>
      <c r="T611">
        <f t="shared" si="66"/>
        <v>97054871</v>
      </c>
      <c r="U611" t="s">
        <v>1127</v>
      </c>
    </row>
    <row r="612" spans="1:21" hidden="1" x14ac:dyDescent="0.2">
      <c r="A612" s="186" t="s">
        <v>137</v>
      </c>
      <c r="B612" s="128">
        <f t="shared" si="61"/>
        <v>3</v>
      </c>
      <c r="C612" s="128" t="s">
        <v>856</v>
      </c>
      <c r="D612" s="128" t="s">
        <v>298</v>
      </c>
      <c r="E612" s="127">
        <v>500</v>
      </c>
      <c r="F612" s="127">
        <v>97092914</v>
      </c>
      <c r="G612" s="127" t="s">
        <v>1856</v>
      </c>
      <c r="H612" s="187"/>
      <c r="I612" s="187"/>
      <c r="P612" t="str">
        <f t="shared" si="62"/>
        <v>VILLEMER3</v>
      </c>
      <c r="Q612" t="str">
        <f t="shared" si="63"/>
        <v>CACHET</v>
      </c>
      <c r="R612" t="str">
        <f t="shared" si="64"/>
        <v>Christian</v>
      </c>
      <c r="S612">
        <f t="shared" si="65"/>
        <v>500</v>
      </c>
      <c r="T612">
        <f t="shared" si="66"/>
        <v>97092914</v>
      </c>
      <c r="U612" t="s">
        <v>915</v>
      </c>
    </row>
    <row r="613" spans="1:21" hidden="1" x14ac:dyDescent="0.2">
      <c r="A613" s="186" t="s">
        <v>137</v>
      </c>
      <c r="B613" s="128">
        <f t="shared" si="61"/>
        <v>4</v>
      </c>
      <c r="C613" s="128" t="s">
        <v>755</v>
      </c>
      <c r="D613" s="128" t="s">
        <v>764</v>
      </c>
      <c r="E613" s="127">
        <v>500</v>
      </c>
      <c r="F613" s="127">
        <v>97086817</v>
      </c>
      <c r="G613" s="127" t="s">
        <v>1856</v>
      </c>
      <c r="H613" s="187"/>
      <c r="I613" s="187"/>
      <c r="P613" t="str">
        <f t="shared" si="62"/>
        <v>VILLEMER4</v>
      </c>
      <c r="Q613" t="str">
        <f t="shared" si="63"/>
        <v>CANDIOTTI</v>
      </c>
      <c r="R613" t="str">
        <f t="shared" si="64"/>
        <v>Claude</v>
      </c>
      <c r="S613">
        <f t="shared" si="65"/>
        <v>500</v>
      </c>
      <c r="T613">
        <f t="shared" si="66"/>
        <v>97086817</v>
      </c>
      <c r="U613" t="s">
        <v>786</v>
      </c>
    </row>
    <row r="614" spans="1:21" hidden="1" x14ac:dyDescent="0.2">
      <c r="A614" s="186" t="s">
        <v>137</v>
      </c>
      <c r="B614" s="128">
        <f t="shared" si="61"/>
        <v>5</v>
      </c>
      <c r="C614" s="128" t="s">
        <v>1898</v>
      </c>
      <c r="D614" s="128" t="s">
        <v>1899</v>
      </c>
      <c r="E614" s="127">
        <v>500</v>
      </c>
      <c r="F614" s="127">
        <v>97110185</v>
      </c>
      <c r="G614" s="127" t="s">
        <v>1643</v>
      </c>
      <c r="H614" s="187"/>
      <c r="I614" s="187"/>
      <c r="P614" t="str">
        <f t="shared" si="62"/>
        <v>VILLEMER5</v>
      </c>
      <c r="Q614" t="str">
        <f t="shared" si="63"/>
        <v>CASSE</v>
      </c>
      <c r="R614" t="str">
        <f t="shared" si="64"/>
        <v>Elina</v>
      </c>
      <c r="S614">
        <f t="shared" si="65"/>
        <v>500</v>
      </c>
      <c r="T614">
        <f t="shared" si="66"/>
        <v>97110185</v>
      </c>
      <c r="U614" t="s">
        <v>2013</v>
      </c>
    </row>
    <row r="615" spans="1:21" hidden="1" x14ac:dyDescent="0.2">
      <c r="A615" s="186" t="s">
        <v>137</v>
      </c>
      <c r="B615" s="128">
        <f t="shared" si="61"/>
        <v>6</v>
      </c>
      <c r="C615" s="128" t="s">
        <v>1898</v>
      </c>
      <c r="D615" s="128" t="s">
        <v>1902</v>
      </c>
      <c r="E615" s="127">
        <v>500</v>
      </c>
      <c r="F615" s="127">
        <v>97110186</v>
      </c>
      <c r="G615" s="127" t="s">
        <v>1643</v>
      </c>
      <c r="H615" s="187"/>
      <c r="I615" s="187"/>
      <c r="P615" t="str">
        <f t="shared" si="62"/>
        <v>VILLEMER6</v>
      </c>
      <c r="Q615" t="str">
        <f t="shared" si="63"/>
        <v>CASSE</v>
      </c>
      <c r="R615" t="str">
        <f t="shared" si="64"/>
        <v>Noe</v>
      </c>
      <c r="S615">
        <f t="shared" si="65"/>
        <v>500</v>
      </c>
      <c r="T615">
        <f t="shared" si="66"/>
        <v>97110186</v>
      </c>
      <c r="U615" t="s">
        <v>2014</v>
      </c>
    </row>
    <row r="616" spans="1:21" hidden="1" x14ac:dyDescent="0.2">
      <c r="A616" s="186" t="s">
        <v>137</v>
      </c>
      <c r="B616" s="128">
        <f t="shared" si="61"/>
        <v>7</v>
      </c>
      <c r="C616" s="128" t="s">
        <v>1898</v>
      </c>
      <c r="D616" s="128" t="s">
        <v>1286</v>
      </c>
      <c r="E616" s="127">
        <v>500</v>
      </c>
      <c r="F616" s="127">
        <v>97110187</v>
      </c>
      <c r="G616" s="127" t="s">
        <v>1643</v>
      </c>
      <c r="H616" s="187"/>
      <c r="I616" s="187"/>
      <c r="P616" t="str">
        <f t="shared" si="62"/>
        <v>VILLEMER7</v>
      </c>
      <c r="Q616" t="str">
        <f t="shared" si="63"/>
        <v>CASSE</v>
      </c>
      <c r="R616" t="str">
        <f t="shared" si="64"/>
        <v>Stephen</v>
      </c>
      <c r="S616">
        <f t="shared" si="65"/>
        <v>500</v>
      </c>
      <c r="T616">
        <f t="shared" si="66"/>
        <v>97110187</v>
      </c>
      <c r="U616" t="s">
        <v>2015</v>
      </c>
    </row>
    <row r="617" spans="1:21" hidden="1" x14ac:dyDescent="0.2">
      <c r="A617" s="186" t="s">
        <v>137</v>
      </c>
      <c r="B617" s="128">
        <f t="shared" ref="B617:B680" si="67">IF(A617=A616,B616+1,1)</f>
        <v>8</v>
      </c>
      <c r="C617" s="128" t="s">
        <v>1900</v>
      </c>
      <c r="D617" s="128" t="s">
        <v>1901</v>
      </c>
      <c r="E617" s="127">
        <v>500</v>
      </c>
      <c r="F617" s="127">
        <v>97111667</v>
      </c>
      <c r="G617" s="127" t="s">
        <v>1643</v>
      </c>
      <c r="H617" s="187"/>
      <c r="I617" s="187"/>
      <c r="P617" t="str">
        <f t="shared" ref="P617:P680" si="68">A617&amp;B617</f>
        <v>VILLEMER8</v>
      </c>
      <c r="Q617" t="str">
        <f t="shared" si="63"/>
        <v>CATRIN GOMES</v>
      </c>
      <c r="R617" t="str">
        <f t="shared" si="64"/>
        <v>Gabrielle</v>
      </c>
      <c r="S617">
        <f t="shared" si="65"/>
        <v>500</v>
      </c>
      <c r="T617">
        <f t="shared" si="66"/>
        <v>97111667</v>
      </c>
      <c r="U617" t="s">
        <v>2016</v>
      </c>
    </row>
    <row r="618" spans="1:21" hidden="1" x14ac:dyDescent="0.2">
      <c r="A618" s="186" t="s">
        <v>137</v>
      </c>
      <c r="B618" s="128">
        <f t="shared" si="67"/>
        <v>9</v>
      </c>
      <c r="C618" s="128" t="s">
        <v>857</v>
      </c>
      <c r="D618" s="128" t="s">
        <v>757</v>
      </c>
      <c r="E618" s="127">
        <v>500</v>
      </c>
      <c r="F618" s="127">
        <v>97092916</v>
      </c>
      <c r="G618" s="127" t="s">
        <v>1643</v>
      </c>
      <c r="H618" s="187"/>
      <c r="I618" s="187"/>
      <c r="P618" t="str">
        <f t="shared" si="68"/>
        <v>VILLEMER9</v>
      </c>
      <c r="Q618" t="str">
        <f t="shared" si="63"/>
        <v>CHANSON</v>
      </c>
      <c r="R618" t="str">
        <f t="shared" si="64"/>
        <v>Kilian</v>
      </c>
      <c r="S618">
        <f t="shared" si="65"/>
        <v>500</v>
      </c>
      <c r="T618">
        <f t="shared" si="66"/>
        <v>97092916</v>
      </c>
      <c r="U618" t="s">
        <v>916</v>
      </c>
    </row>
    <row r="619" spans="1:21" hidden="1" x14ac:dyDescent="0.2">
      <c r="A619" s="186" t="s">
        <v>137</v>
      </c>
      <c r="B619" s="128">
        <f t="shared" si="67"/>
        <v>10</v>
      </c>
      <c r="C619" s="128" t="s">
        <v>835</v>
      </c>
      <c r="D619" s="128" t="s">
        <v>720</v>
      </c>
      <c r="E619" s="127">
        <v>500</v>
      </c>
      <c r="F619" s="127">
        <v>87449633</v>
      </c>
      <c r="G619" s="127" t="s">
        <v>1856</v>
      </c>
      <c r="H619" s="187"/>
      <c r="I619" s="187"/>
      <c r="P619" t="str">
        <f t="shared" si="68"/>
        <v>VILLEMER10</v>
      </c>
      <c r="Q619" t="str">
        <f t="shared" si="63"/>
        <v>CLEMENT</v>
      </c>
      <c r="R619" t="str">
        <f t="shared" si="64"/>
        <v>Ethan</v>
      </c>
      <c r="S619">
        <f t="shared" si="65"/>
        <v>500</v>
      </c>
      <c r="T619">
        <f t="shared" si="66"/>
        <v>87449633</v>
      </c>
      <c r="U619" t="s">
        <v>896</v>
      </c>
    </row>
    <row r="620" spans="1:21" hidden="1" x14ac:dyDescent="0.2">
      <c r="A620" s="186" t="s">
        <v>137</v>
      </c>
      <c r="B620" s="128">
        <f t="shared" si="67"/>
        <v>11</v>
      </c>
      <c r="C620" s="128" t="s">
        <v>1807</v>
      </c>
      <c r="D620" s="128" t="s">
        <v>1808</v>
      </c>
      <c r="E620" s="127">
        <v>500</v>
      </c>
      <c r="F620" s="127">
        <v>97109862</v>
      </c>
      <c r="G620" s="127" t="s">
        <v>1643</v>
      </c>
      <c r="H620" s="187"/>
      <c r="I620" s="187"/>
      <c r="P620" t="str">
        <f t="shared" si="68"/>
        <v>VILLEMER11</v>
      </c>
      <c r="Q620" t="str">
        <f t="shared" si="63"/>
        <v>CONAN</v>
      </c>
      <c r="R620" t="str">
        <f t="shared" si="64"/>
        <v>Frédérique</v>
      </c>
      <c r="S620">
        <f t="shared" si="65"/>
        <v>500</v>
      </c>
      <c r="T620">
        <f t="shared" si="66"/>
        <v>97109862</v>
      </c>
      <c r="U620" t="s">
        <v>1839</v>
      </c>
    </row>
    <row r="621" spans="1:21" hidden="1" x14ac:dyDescent="0.2">
      <c r="A621" s="186" t="s">
        <v>137</v>
      </c>
      <c r="B621" s="128">
        <f t="shared" si="67"/>
        <v>12</v>
      </c>
      <c r="C621" s="128" t="s">
        <v>834</v>
      </c>
      <c r="D621" s="128" t="s">
        <v>292</v>
      </c>
      <c r="E621" s="127">
        <v>640</v>
      </c>
      <c r="F621" s="127">
        <v>55342614</v>
      </c>
      <c r="G621" s="127" t="s">
        <v>1856</v>
      </c>
      <c r="H621" s="187"/>
      <c r="I621" s="187"/>
      <c r="P621" t="str">
        <f t="shared" si="68"/>
        <v>VILLEMER12</v>
      </c>
      <c r="Q621" t="str">
        <f t="shared" si="63"/>
        <v>CONTENT</v>
      </c>
      <c r="R621" t="str">
        <f t="shared" si="64"/>
        <v>Philippe</v>
      </c>
      <c r="S621">
        <f t="shared" si="65"/>
        <v>640</v>
      </c>
      <c r="T621">
        <f t="shared" si="66"/>
        <v>55342614</v>
      </c>
      <c r="U621" t="s">
        <v>895</v>
      </c>
    </row>
    <row r="622" spans="1:21" hidden="1" x14ac:dyDescent="0.2">
      <c r="A622" s="186" t="s">
        <v>137</v>
      </c>
      <c r="B622" s="128">
        <f t="shared" si="67"/>
        <v>13</v>
      </c>
      <c r="C622" s="128" t="s">
        <v>108</v>
      </c>
      <c r="D622" s="128" t="s">
        <v>310</v>
      </c>
      <c r="E622" s="127">
        <v>693</v>
      </c>
      <c r="F622" s="127">
        <v>55345500</v>
      </c>
      <c r="G622" s="127" t="s">
        <v>1643</v>
      </c>
      <c r="H622" s="187"/>
      <c r="I622" s="187"/>
      <c r="P622" t="str">
        <f t="shared" si="68"/>
        <v>VILLEMER13</v>
      </c>
      <c r="Q622" t="str">
        <f t="shared" si="63"/>
        <v>CROIZE</v>
      </c>
      <c r="R622" t="str">
        <f t="shared" si="64"/>
        <v>Alain</v>
      </c>
      <c r="S622">
        <f t="shared" si="65"/>
        <v>693</v>
      </c>
      <c r="T622">
        <f t="shared" si="66"/>
        <v>55345500</v>
      </c>
      <c r="U622" t="s">
        <v>558</v>
      </c>
    </row>
    <row r="623" spans="1:21" hidden="1" x14ac:dyDescent="0.2">
      <c r="A623" s="186" t="s">
        <v>137</v>
      </c>
      <c r="B623" s="128">
        <f t="shared" si="67"/>
        <v>14</v>
      </c>
      <c r="C623" s="128" t="s">
        <v>1084</v>
      </c>
      <c r="D623" s="128" t="s">
        <v>1100</v>
      </c>
      <c r="E623" s="127">
        <v>500</v>
      </c>
      <c r="F623" s="127">
        <v>97102064</v>
      </c>
      <c r="G623" s="127" t="s">
        <v>1856</v>
      </c>
      <c r="H623" s="187"/>
      <c r="I623" s="187"/>
      <c r="P623" t="str">
        <f t="shared" si="68"/>
        <v>VILLEMER14</v>
      </c>
      <c r="Q623" t="str">
        <f t="shared" si="63"/>
        <v>DE SEIXAS</v>
      </c>
      <c r="R623" t="str">
        <f t="shared" si="64"/>
        <v>Etienne</v>
      </c>
      <c r="S623">
        <f t="shared" si="65"/>
        <v>500</v>
      </c>
      <c r="T623">
        <f t="shared" si="66"/>
        <v>97102064</v>
      </c>
      <c r="U623" t="s">
        <v>1130</v>
      </c>
    </row>
    <row r="624" spans="1:21" hidden="1" x14ac:dyDescent="0.2">
      <c r="A624" s="186" t="s">
        <v>137</v>
      </c>
      <c r="B624" s="128">
        <f t="shared" si="67"/>
        <v>15</v>
      </c>
      <c r="C624" s="128" t="s">
        <v>1171</v>
      </c>
      <c r="D624" s="128" t="s">
        <v>1351</v>
      </c>
      <c r="E624" s="127">
        <v>500</v>
      </c>
      <c r="F624" s="127">
        <v>97103021</v>
      </c>
      <c r="G624" s="127" t="s">
        <v>1856</v>
      </c>
      <c r="H624" s="187"/>
      <c r="I624" s="187"/>
      <c r="P624" t="str">
        <f t="shared" si="68"/>
        <v>VILLEMER15</v>
      </c>
      <c r="Q624" t="str">
        <f t="shared" si="63"/>
        <v>DE SOUSA</v>
      </c>
      <c r="R624" t="str">
        <f t="shared" si="64"/>
        <v>Lilou</v>
      </c>
      <c r="S624">
        <f t="shared" si="65"/>
        <v>500</v>
      </c>
      <c r="T624">
        <f t="shared" si="66"/>
        <v>97103021</v>
      </c>
      <c r="U624" t="s">
        <v>1502</v>
      </c>
    </row>
    <row r="625" spans="1:21" hidden="1" x14ac:dyDescent="0.2">
      <c r="A625" s="186" t="s">
        <v>137</v>
      </c>
      <c r="B625" s="128">
        <f t="shared" si="67"/>
        <v>16</v>
      </c>
      <c r="C625" s="128" t="s">
        <v>114</v>
      </c>
      <c r="D625" s="128" t="s">
        <v>363</v>
      </c>
      <c r="E625" s="127">
        <v>500</v>
      </c>
      <c r="F625" s="127">
        <v>87422269</v>
      </c>
      <c r="G625" s="127" t="s">
        <v>1643</v>
      </c>
      <c r="H625" s="187"/>
      <c r="I625" s="187"/>
      <c r="P625" t="str">
        <f t="shared" si="68"/>
        <v>VILLEMER16</v>
      </c>
      <c r="Q625" t="str">
        <f t="shared" si="63"/>
        <v>DECORNOY</v>
      </c>
      <c r="R625" t="str">
        <f t="shared" si="64"/>
        <v>Christine</v>
      </c>
      <c r="S625">
        <f t="shared" si="65"/>
        <v>500</v>
      </c>
      <c r="T625">
        <f t="shared" si="66"/>
        <v>87422269</v>
      </c>
      <c r="U625" t="s">
        <v>559</v>
      </c>
    </row>
    <row r="626" spans="1:21" hidden="1" x14ac:dyDescent="0.2">
      <c r="A626" s="186" t="s">
        <v>137</v>
      </c>
      <c r="B626" s="128">
        <f t="shared" si="67"/>
        <v>17</v>
      </c>
      <c r="C626" s="128" t="s">
        <v>1905</v>
      </c>
      <c r="D626" s="128" t="s">
        <v>1865</v>
      </c>
      <c r="E626" s="127">
        <v>500</v>
      </c>
      <c r="F626" s="127">
        <v>97111668</v>
      </c>
      <c r="G626" s="127" t="s">
        <v>1643</v>
      </c>
      <c r="H626" s="187"/>
      <c r="I626" s="187"/>
      <c r="P626" t="str">
        <f t="shared" si="68"/>
        <v>VILLEMER17</v>
      </c>
      <c r="Q626" t="str">
        <f t="shared" si="63"/>
        <v>DUCROCQ-LANGEL</v>
      </c>
      <c r="R626" t="str">
        <f t="shared" si="64"/>
        <v>Timéo</v>
      </c>
      <c r="S626">
        <f t="shared" si="65"/>
        <v>500</v>
      </c>
      <c r="T626">
        <f t="shared" si="66"/>
        <v>97111668</v>
      </c>
      <c r="U626" t="s">
        <v>2017</v>
      </c>
    </row>
    <row r="627" spans="1:21" hidden="1" x14ac:dyDescent="0.2">
      <c r="A627" s="186" t="s">
        <v>137</v>
      </c>
      <c r="B627" s="128">
        <f t="shared" si="67"/>
        <v>18</v>
      </c>
      <c r="C627" s="128" t="s">
        <v>1910</v>
      </c>
      <c r="D627" s="128" t="s">
        <v>1911</v>
      </c>
      <c r="E627" s="127">
        <v>500</v>
      </c>
      <c r="F627" s="127">
        <v>97110188</v>
      </c>
      <c r="G627" s="127" t="s">
        <v>1643</v>
      </c>
      <c r="H627" s="187"/>
      <c r="I627" s="187"/>
      <c r="P627" t="str">
        <f t="shared" si="68"/>
        <v>VILLEMER18</v>
      </c>
      <c r="Q627" t="str">
        <f t="shared" si="63"/>
        <v>DUPRE PARISOT</v>
      </c>
      <c r="R627" t="str">
        <f t="shared" si="64"/>
        <v>Gael</v>
      </c>
      <c r="S627">
        <f t="shared" si="65"/>
        <v>500</v>
      </c>
      <c r="T627">
        <f t="shared" si="66"/>
        <v>97110188</v>
      </c>
      <c r="U627" t="s">
        <v>2018</v>
      </c>
    </row>
    <row r="628" spans="1:21" hidden="1" x14ac:dyDescent="0.2">
      <c r="A628" s="186" t="s">
        <v>137</v>
      </c>
      <c r="B628" s="128">
        <f t="shared" si="67"/>
        <v>19</v>
      </c>
      <c r="C628" s="128" t="s">
        <v>1267</v>
      </c>
      <c r="D628" s="128" t="s">
        <v>285</v>
      </c>
      <c r="E628" s="127">
        <v>500</v>
      </c>
      <c r="F628" s="127">
        <v>97103022</v>
      </c>
      <c r="G628" s="127" t="s">
        <v>1643</v>
      </c>
      <c r="H628" s="187"/>
      <c r="I628" s="187"/>
      <c r="P628" t="str">
        <f t="shared" si="68"/>
        <v>VILLEMER19</v>
      </c>
      <c r="Q628" t="str">
        <f t="shared" si="63"/>
        <v>DUTHEIL</v>
      </c>
      <c r="R628" t="str">
        <f t="shared" si="64"/>
        <v>Eric</v>
      </c>
      <c r="S628">
        <f t="shared" si="65"/>
        <v>500</v>
      </c>
      <c r="T628">
        <f t="shared" si="66"/>
        <v>97103022</v>
      </c>
      <c r="U628" t="s">
        <v>1503</v>
      </c>
    </row>
    <row r="629" spans="1:21" hidden="1" x14ac:dyDescent="0.2">
      <c r="A629" s="186" t="s">
        <v>137</v>
      </c>
      <c r="B629" s="128">
        <f t="shared" si="67"/>
        <v>20</v>
      </c>
      <c r="C629" s="128" t="s">
        <v>1081</v>
      </c>
      <c r="D629" s="128" t="s">
        <v>1098</v>
      </c>
      <c r="E629" s="127">
        <v>500</v>
      </c>
      <c r="F629" s="127">
        <v>97101746</v>
      </c>
      <c r="G629" s="127" t="s">
        <v>1856</v>
      </c>
      <c r="H629" s="187"/>
      <c r="I629" s="187"/>
      <c r="P629" t="str">
        <f t="shared" si="68"/>
        <v>VILLEMER20</v>
      </c>
      <c r="Q629" t="str">
        <f t="shared" si="63"/>
        <v>GIACCO</v>
      </c>
      <c r="R629" t="str">
        <f t="shared" si="64"/>
        <v>Franco</v>
      </c>
      <c r="S629">
        <f t="shared" si="65"/>
        <v>500</v>
      </c>
      <c r="T629">
        <f t="shared" si="66"/>
        <v>97101746</v>
      </c>
      <c r="U629" t="s">
        <v>1126</v>
      </c>
    </row>
    <row r="630" spans="1:21" hidden="1" x14ac:dyDescent="0.2">
      <c r="A630" s="186" t="s">
        <v>137</v>
      </c>
      <c r="B630" s="128">
        <f t="shared" si="67"/>
        <v>21</v>
      </c>
      <c r="C630" s="128" t="s">
        <v>1542</v>
      </c>
      <c r="D630" s="128" t="s">
        <v>1560</v>
      </c>
      <c r="E630" s="127">
        <v>500</v>
      </c>
      <c r="F630" s="127">
        <v>97106440</v>
      </c>
      <c r="G630" s="127" t="s">
        <v>1856</v>
      </c>
      <c r="H630" s="187"/>
      <c r="I630" s="187"/>
      <c r="P630" t="str">
        <f t="shared" si="68"/>
        <v>VILLEMER21</v>
      </c>
      <c r="Q630" t="str">
        <f t="shared" si="63"/>
        <v>GIRAULT-FARRUGIA</v>
      </c>
      <c r="R630" t="str">
        <f t="shared" si="64"/>
        <v>Alois</v>
      </c>
      <c r="S630">
        <f t="shared" si="65"/>
        <v>500</v>
      </c>
      <c r="T630">
        <f t="shared" si="66"/>
        <v>97106440</v>
      </c>
      <c r="U630" t="s">
        <v>1587</v>
      </c>
    </row>
    <row r="631" spans="1:21" hidden="1" x14ac:dyDescent="0.2">
      <c r="A631" s="186" t="s">
        <v>137</v>
      </c>
      <c r="B631" s="128">
        <f t="shared" si="67"/>
        <v>22</v>
      </c>
      <c r="C631" s="128" t="s">
        <v>117</v>
      </c>
      <c r="D631" s="128" t="s">
        <v>285</v>
      </c>
      <c r="E631" s="127">
        <v>871</v>
      </c>
      <c r="F631" s="127">
        <v>87439070</v>
      </c>
      <c r="G631" s="127" t="s">
        <v>1643</v>
      </c>
      <c r="H631" s="187"/>
      <c r="I631" s="187"/>
      <c r="P631" t="str">
        <f t="shared" si="68"/>
        <v>VILLEMER22</v>
      </c>
      <c r="Q631" t="str">
        <f t="shared" si="63"/>
        <v>GUESPIN</v>
      </c>
      <c r="R631" t="str">
        <f t="shared" si="64"/>
        <v>Eric</v>
      </c>
      <c r="S631">
        <f t="shared" si="65"/>
        <v>871</v>
      </c>
      <c r="T631">
        <f t="shared" si="66"/>
        <v>87439070</v>
      </c>
      <c r="U631" t="s">
        <v>560</v>
      </c>
    </row>
    <row r="632" spans="1:21" hidden="1" x14ac:dyDescent="0.2">
      <c r="A632" s="186" t="s">
        <v>137</v>
      </c>
      <c r="B632" s="128">
        <f t="shared" si="67"/>
        <v>23</v>
      </c>
      <c r="C632" s="128" t="s">
        <v>117</v>
      </c>
      <c r="D632" s="128" t="s">
        <v>1347</v>
      </c>
      <c r="E632" s="127">
        <v>500</v>
      </c>
      <c r="F632" s="127">
        <v>97103363</v>
      </c>
      <c r="G632" s="127" t="s">
        <v>1643</v>
      </c>
      <c r="H632" s="187"/>
      <c r="I632" s="187"/>
      <c r="P632" t="str">
        <f t="shared" si="68"/>
        <v>VILLEMER23</v>
      </c>
      <c r="Q632" t="str">
        <f t="shared" si="63"/>
        <v>GUESPIN</v>
      </c>
      <c r="R632" t="str">
        <f t="shared" si="64"/>
        <v>Magali</v>
      </c>
      <c r="S632">
        <f t="shared" si="65"/>
        <v>500</v>
      </c>
      <c r="T632">
        <f t="shared" si="66"/>
        <v>97103363</v>
      </c>
      <c r="U632" t="s">
        <v>1497</v>
      </c>
    </row>
    <row r="633" spans="1:21" hidden="1" x14ac:dyDescent="0.2">
      <c r="A633" s="186" t="s">
        <v>137</v>
      </c>
      <c r="B633" s="128">
        <f t="shared" si="67"/>
        <v>24</v>
      </c>
      <c r="C633" s="128" t="s">
        <v>1266</v>
      </c>
      <c r="D633" s="128" t="s">
        <v>1350</v>
      </c>
      <c r="E633" s="127">
        <v>500</v>
      </c>
      <c r="F633" s="127">
        <v>97073724</v>
      </c>
      <c r="G633" s="127" t="s">
        <v>1643</v>
      </c>
      <c r="H633" s="187"/>
      <c r="I633" s="187"/>
      <c r="P633" t="str">
        <f t="shared" si="68"/>
        <v>VILLEMER24</v>
      </c>
      <c r="Q633" t="str">
        <f t="shared" si="63"/>
        <v>GUILLEMOT</v>
      </c>
      <c r="R633" t="str">
        <f t="shared" si="64"/>
        <v>Mathéo</v>
      </c>
      <c r="S633">
        <f t="shared" si="65"/>
        <v>500</v>
      </c>
      <c r="T633">
        <f t="shared" si="66"/>
        <v>97073724</v>
      </c>
      <c r="U633" t="s">
        <v>1501</v>
      </c>
    </row>
    <row r="634" spans="1:21" hidden="1" x14ac:dyDescent="0.2">
      <c r="A634" s="186" t="s">
        <v>137</v>
      </c>
      <c r="B634" s="128">
        <f t="shared" si="67"/>
        <v>25</v>
      </c>
      <c r="C634" s="128" t="s">
        <v>1078</v>
      </c>
      <c r="D634" s="128" t="s">
        <v>1096</v>
      </c>
      <c r="E634" s="127">
        <v>500</v>
      </c>
      <c r="F634" s="127">
        <v>97092933</v>
      </c>
      <c r="G634" s="127" t="s">
        <v>1643</v>
      </c>
      <c r="H634" s="187"/>
      <c r="I634" s="187"/>
      <c r="P634" t="str">
        <f t="shared" si="68"/>
        <v>VILLEMER25</v>
      </c>
      <c r="Q634" t="str">
        <f t="shared" si="63"/>
        <v>JOUBERT</v>
      </c>
      <c r="R634" t="str">
        <f t="shared" si="64"/>
        <v>Andréa</v>
      </c>
      <c r="S634">
        <f t="shared" si="65"/>
        <v>500</v>
      </c>
      <c r="T634">
        <f t="shared" si="66"/>
        <v>97092933</v>
      </c>
      <c r="U634" t="s">
        <v>1123</v>
      </c>
    </row>
    <row r="635" spans="1:21" hidden="1" x14ac:dyDescent="0.2">
      <c r="A635" s="186" t="s">
        <v>137</v>
      </c>
      <c r="B635" s="128">
        <f t="shared" si="67"/>
        <v>26</v>
      </c>
      <c r="C635" s="128" t="s">
        <v>1078</v>
      </c>
      <c r="D635" s="128" t="s">
        <v>1302</v>
      </c>
      <c r="E635" s="127">
        <v>500</v>
      </c>
      <c r="F635" s="127">
        <v>87441925</v>
      </c>
      <c r="G635" s="127" t="s">
        <v>1643</v>
      </c>
      <c r="H635" s="187"/>
      <c r="I635" s="187"/>
      <c r="P635" t="str">
        <f t="shared" si="68"/>
        <v>VILLEMER26</v>
      </c>
      <c r="Q635" t="str">
        <f t="shared" si="63"/>
        <v>JOUBERT</v>
      </c>
      <c r="R635" t="str">
        <f t="shared" si="64"/>
        <v>Aurore</v>
      </c>
      <c r="S635">
        <f t="shared" si="65"/>
        <v>500</v>
      </c>
      <c r="T635">
        <f t="shared" si="66"/>
        <v>87441925</v>
      </c>
      <c r="U635" t="s">
        <v>1586</v>
      </c>
    </row>
    <row r="636" spans="1:21" hidden="1" x14ac:dyDescent="0.2">
      <c r="A636" s="186" t="s">
        <v>137</v>
      </c>
      <c r="B636" s="128">
        <f t="shared" si="67"/>
        <v>27</v>
      </c>
      <c r="C636" s="128" t="s">
        <v>1078</v>
      </c>
      <c r="D636" s="128" t="s">
        <v>289</v>
      </c>
      <c r="E636" s="127">
        <v>892</v>
      </c>
      <c r="F636" s="127">
        <v>43325727</v>
      </c>
      <c r="G636" s="127" t="s">
        <v>1643</v>
      </c>
      <c r="H636" s="187"/>
      <c r="I636" s="187"/>
      <c r="P636" t="str">
        <f t="shared" si="68"/>
        <v>VILLEMER27</v>
      </c>
      <c r="Q636" t="str">
        <f t="shared" si="63"/>
        <v>JOUBERT</v>
      </c>
      <c r="R636" t="str">
        <f t="shared" si="64"/>
        <v>Laurent</v>
      </c>
      <c r="S636">
        <f t="shared" si="65"/>
        <v>892</v>
      </c>
      <c r="T636">
        <f t="shared" si="66"/>
        <v>43325727</v>
      </c>
      <c r="U636" t="s">
        <v>1122</v>
      </c>
    </row>
    <row r="637" spans="1:21" hidden="1" x14ac:dyDescent="0.2">
      <c r="A637" s="186" t="s">
        <v>137</v>
      </c>
      <c r="B637" s="128">
        <f t="shared" si="67"/>
        <v>28</v>
      </c>
      <c r="C637" s="128" t="s">
        <v>1265</v>
      </c>
      <c r="D637" s="128" t="s">
        <v>876</v>
      </c>
      <c r="E637" s="127">
        <v>500</v>
      </c>
      <c r="F637" s="127">
        <v>97103023</v>
      </c>
      <c r="G637" s="127" t="s">
        <v>1856</v>
      </c>
      <c r="H637" s="187"/>
      <c r="I637" s="187"/>
      <c r="P637" t="str">
        <f t="shared" si="68"/>
        <v>VILLEMER28</v>
      </c>
      <c r="Q637" t="str">
        <f t="shared" si="63"/>
        <v>KUBIEZ</v>
      </c>
      <c r="R637" t="str">
        <f t="shared" si="64"/>
        <v>Raphael</v>
      </c>
      <c r="S637">
        <f t="shared" si="65"/>
        <v>500</v>
      </c>
      <c r="T637">
        <f t="shared" si="66"/>
        <v>97103023</v>
      </c>
      <c r="U637" t="s">
        <v>1513</v>
      </c>
    </row>
    <row r="638" spans="1:21" hidden="1" x14ac:dyDescent="0.2">
      <c r="A638" s="186" t="s">
        <v>137</v>
      </c>
      <c r="B638" s="128">
        <f t="shared" si="67"/>
        <v>29</v>
      </c>
      <c r="C638" s="128" t="s">
        <v>39</v>
      </c>
      <c r="D638" s="128" t="s">
        <v>1099</v>
      </c>
      <c r="E638" s="127">
        <v>500</v>
      </c>
      <c r="F638" s="127">
        <v>97102065</v>
      </c>
      <c r="G638" s="127" t="s">
        <v>1643</v>
      </c>
      <c r="H638" s="187"/>
      <c r="I638" s="187"/>
      <c r="P638" t="str">
        <f t="shared" si="68"/>
        <v>VILLEMER29</v>
      </c>
      <c r="Q638" t="str">
        <f t="shared" si="63"/>
        <v>LAINE</v>
      </c>
      <c r="R638" t="str">
        <f t="shared" si="64"/>
        <v>Alix</v>
      </c>
      <c r="S638">
        <f t="shared" si="65"/>
        <v>500</v>
      </c>
      <c r="T638">
        <f t="shared" si="66"/>
        <v>97102065</v>
      </c>
      <c r="U638" t="s">
        <v>1129</v>
      </c>
    </row>
    <row r="639" spans="1:21" hidden="1" x14ac:dyDescent="0.2">
      <c r="A639" s="186" t="s">
        <v>137</v>
      </c>
      <c r="B639" s="128">
        <f t="shared" si="67"/>
        <v>30</v>
      </c>
      <c r="C639" s="128" t="s">
        <v>116</v>
      </c>
      <c r="D639" s="128" t="s">
        <v>293</v>
      </c>
      <c r="E639" s="127">
        <v>541</v>
      </c>
      <c r="F639" s="127">
        <v>87450330</v>
      </c>
      <c r="G639" s="127" t="s">
        <v>1643</v>
      </c>
      <c r="H639" s="187"/>
      <c r="I639" s="187"/>
      <c r="P639" t="str">
        <f t="shared" si="68"/>
        <v>VILLEMER30</v>
      </c>
      <c r="Q639" t="str">
        <f t="shared" si="63"/>
        <v>LEBORGNE</v>
      </c>
      <c r="R639" t="str">
        <f t="shared" si="64"/>
        <v>Christophe</v>
      </c>
      <c r="S639">
        <f t="shared" si="65"/>
        <v>541</v>
      </c>
      <c r="T639">
        <f t="shared" si="66"/>
        <v>87450330</v>
      </c>
      <c r="U639" t="s">
        <v>561</v>
      </c>
    </row>
    <row r="640" spans="1:21" hidden="1" x14ac:dyDescent="0.2">
      <c r="A640" s="186" t="s">
        <v>137</v>
      </c>
      <c r="B640" s="128">
        <f t="shared" si="67"/>
        <v>31</v>
      </c>
      <c r="C640" s="128" t="s">
        <v>1263</v>
      </c>
      <c r="D640" s="128" t="s">
        <v>576</v>
      </c>
      <c r="E640" s="127">
        <v>500</v>
      </c>
      <c r="F640" s="127">
        <v>97073726</v>
      </c>
      <c r="G640" s="127" t="s">
        <v>1643</v>
      </c>
      <c r="H640" s="187"/>
      <c r="I640" s="187"/>
      <c r="P640" t="str">
        <f t="shared" si="68"/>
        <v>VILLEMER31</v>
      </c>
      <c r="Q640" t="str">
        <f t="shared" si="63"/>
        <v>MANDIANGU</v>
      </c>
      <c r="R640" t="str">
        <f t="shared" si="64"/>
        <v>Liam</v>
      </c>
      <c r="S640">
        <f t="shared" si="65"/>
        <v>500</v>
      </c>
      <c r="T640">
        <f t="shared" si="66"/>
        <v>97073726</v>
      </c>
      <c r="U640" t="s">
        <v>1498</v>
      </c>
    </row>
    <row r="641" spans="1:21" hidden="1" x14ac:dyDescent="0.2">
      <c r="A641" s="186" t="s">
        <v>137</v>
      </c>
      <c r="B641" s="128">
        <f t="shared" si="67"/>
        <v>32</v>
      </c>
      <c r="C641" s="128" t="s">
        <v>1263</v>
      </c>
      <c r="D641" s="128" t="s">
        <v>1349</v>
      </c>
      <c r="E641" s="127">
        <v>500</v>
      </c>
      <c r="F641" s="127">
        <v>97103364</v>
      </c>
      <c r="G641" s="127" t="s">
        <v>1643</v>
      </c>
      <c r="H641" s="187"/>
      <c r="I641" s="187"/>
      <c r="P641" t="str">
        <f t="shared" si="68"/>
        <v>VILLEMER32</v>
      </c>
      <c r="Q641" t="str">
        <f t="shared" si="63"/>
        <v>MANDIANGU</v>
      </c>
      <c r="R641" t="str">
        <f t="shared" si="64"/>
        <v>Loan</v>
      </c>
      <c r="S641">
        <f t="shared" si="65"/>
        <v>500</v>
      </c>
      <c r="T641">
        <f t="shared" si="66"/>
        <v>97103364</v>
      </c>
      <c r="U641" t="s">
        <v>1500</v>
      </c>
    </row>
    <row r="642" spans="1:21" hidden="1" x14ac:dyDescent="0.2">
      <c r="A642" s="186" t="s">
        <v>137</v>
      </c>
      <c r="B642" s="128">
        <f t="shared" si="67"/>
        <v>33</v>
      </c>
      <c r="C642" s="128" t="s">
        <v>740</v>
      </c>
      <c r="D642" s="128" t="s">
        <v>951</v>
      </c>
      <c r="E642" s="127">
        <v>500</v>
      </c>
      <c r="F642" s="127">
        <v>97098811</v>
      </c>
      <c r="G642" s="127" t="s">
        <v>1856</v>
      </c>
      <c r="H642" s="187"/>
      <c r="I642" s="187"/>
      <c r="P642" t="str">
        <f t="shared" si="68"/>
        <v>VILLEMER33</v>
      </c>
      <c r="Q642" t="str">
        <f t="shared" si="63"/>
        <v>MATHE</v>
      </c>
      <c r="R642" t="str">
        <f t="shared" si="64"/>
        <v>Tom</v>
      </c>
      <c r="S642">
        <f t="shared" si="65"/>
        <v>500</v>
      </c>
      <c r="T642">
        <f t="shared" si="66"/>
        <v>97098811</v>
      </c>
      <c r="U642" t="s">
        <v>994</v>
      </c>
    </row>
    <row r="643" spans="1:21" hidden="1" x14ac:dyDescent="0.2">
      <c r="A643" s="186" t="s">
        <v>137</v>
      </c>
      <c r="B643" s="128">
        <f t="shared" si="67"/>
        <v>34</v>
      </c>
      <c r="C643" s="128" t="s">
        <v>858</v>
      </c>
      <c r="D643" s="128" t="s">
        <v>878</v>
      </c>
      <c r="E643" s="127">
        <v>500</v>
      </c>
      <c r="F643" s="127">
        <v>97094062</v>
      </c>
      <c r="G643" s="127" t="s">
        <v>1856</v>
      </c>
      <c r="H643" s="187"/>
      <c r="I643" s="187"/>
      <c r="P643" t="str">
        <f t="shared" si="68"/>
        <v>VILLEMER34</v>
      </c>
      <c r="Q643" t="str">
        <f t="shared" si="63"/>
        <v>MERMINOD</v>
      </c>
      <c r="R643" t="str">
        <f t="shared" si="64"/>
        <v>Brieuc</v>
      </c>
      <c r="S643">
        <f t="shared" si="65"/>
        <v>500</v>
      </c>
      <c r="T643">
        <f t="shared" si="66"/>
        <v>97094062</v>
      </c>
      <c r="U643" t="s">
        <v>917</v>
      </c>
    </row>
    <row r="644" spans="1:21" hidden="1" x14ac:dyDescent="0.2">
      <c r="A644" s="186" t="s">
        <v>137</v>
      </c>
      <c r="B644" s="128">
        <f t="shared" si="67"/>
        <v>35</v>
      </c>
      <c r="C644" s="128" t="s">
        <v>115</v>
      </c>
      <c r="D644" s="128" t="s">
        <v>299</v>
      </c>
      <c r="E644" s="127">
        <v>500</v>
      </c>
      <c r="F644" s="127">
        <v>55363510</v>
      </c>
      <c r="G644" s="127" t="s">
        <v>1643</v>
      </c>
      <c r="H644" s="187"/>
      <c r="I644" s="187"/>
      <c r="P644" t="str">
        <f t="shared" si="68"/>
        <v>VILLEMER35</v>
      </c>
      <c r="Q644" t="str">
        <f t="shared" si="63"/>
        <v>MESTRE</v>
      </c>
      <c r="R644" t="str">
        <f t="shared" si="64"/>
        <v>Manuel</v>
      </c>
      <c r="S644">
        <f t="shared" si="65"/>
        <v>500</v>
      </c>
      <c r="T644">
        <f t="shared" si="66"/>
        <v>55363510</v>
      </c>
      <c r="U644" t="s">
        <v>562</v>
      </c>
    </row>
    <row r="645" spans="1:21" hidden="1" x14ac:dyDescent="0.2">
      <c r="A645" s="186" t="s">
        <v>137</v>
      </c>
      <c r="B645" s="128">
        <f t="shared" si="67"/>
        <v>36</v>
      </c>
      <c r="C645" s="128" t="s">
        <v>692</v>
      </c>
      <c r="D645" s="128" t="s">
        <v>707</v>
      </c>
      <c r="E645" s="127">
        <v>500</v>
      </c>
      <c r="F645" s="127">
        <v>97083410</v>
      </c>
      <c r="G645" s="127" t="s">
        <v>1856</v>
      </c>
      <c r="H645" s="187"/>
      <c r="I645" s="187"/>
      <c r="P645" t="str">
        <f t="shared" si="68"/>
        <v>VILLEMER36</v>
      </c>
      <c r="Q645" t="str">
        <f t="shared" si="63"/>
        <v>NICOLAIEFF</v>
      </c>
      <c r="R645" t="str">
        <f t="shared" si="64"/>
        <v>Alban</v>
      </c>
      <c r="S645">
        <f t="shared" si="65"/>
        <v>500</v>
      </c>
      <c r="T645">
        <f t="shared" si="66"/>
        <v>97083410</v>
      </c>
      <c r="U645" t="s">
        <v>702</v>
      </c>
    </row>
    <row r="646" spans="1:21" hidden="1" x14ac:dyDescent="0.2">
      <c r="A646" s="186" t="s">
        <v>137</v>
      </c>
      <c r="B646" s="128">
        <f t="shared" si="67"/>
        <v>37</v>
      </c>
      <c r="C646" s="128" t="s">
        <v>1809</v>
      </c>
      <c r="D646" s="128" t="s">
        <v>873</v>
      </c>
      <c r="E646" s="127">
        <v>500</v>
      </c>
      <c r="F646" s="127">
        <v>97073731</v>
      </c>
      <c r="G646" s="127" t="s">
        <v>1643</v>
      </c>
      <c r="H646" s="187"/>
      <c r="I646" s="187"/>
      <c r="P646" t="str">
        <f t="shared" si="68"/>
        <v>VILLEMER37</v>
      </c>
      <c r="Q646" t="str">
        <f t="shared" si="63"/>
        <v>NOULETTE</v>
      </c>
      <c r="R646" t="str">
        <f t="shared" si="64"/>
        <v>Aaron</v>
      </c>
      <c r="S646">
        <f t="shared" si="65"/>
        <v>500</v>
      </c>
      <c r="T646">
        <f t="shared" si="66"/>
        <v>97073731</v>
      </c>
      <c r="U646" t="s">
        <v>1840</v>
      </c>
    </row>
    <row r="647" spans="1:21" hidden="1" x14ac:dyDescent="0.2">
      <c r="A647" s="186" t="s">
        <v>137</v>
      </c>
      <c r="B647" s="128">
        <f t="shared" si="67"/>
        <v>38</v>
      </c>
      <c r="C647" s="128" t="s">
        <v>231</v>
      </c>
      <c r="D647" s="128" t="s">
        <v>301</v>
      </c>
      <c r="E647" s="127">
        <v>751</v>
      </c>
      <c r="F647" s="127">
        <v>87451528</v>
      </c>
      <c r="G647" s="127" t="s">
        <v>1643</v>
      </c>
      <c r="H647" s="187"/>
      <c r="I647" s="187"/>
      <c r="P647" t="str">
        <f t="shared" si="68"/>
        <v>VILLEMER38</v>
      </c>
      <c r="Q647" t="str">
        <f t="shared" si="63"/>
        <v>POIRIER</v>
      </c>
      <c r="R647" t="str">
        <f t="shared" si="64"/>
        <v>David</v>
      </c>
      <c r="S647">
        <f t="shared" si="65"/>
        <v>751</v>
      </c>
      <c r="T647">
        <f t="shared" si="66"/>
        <v>87451528</v>
      </c>
      <c r="U647" t="s">
        <v>553</v>
      </c>
    </row>
    <row r="648" spans="1:21" hidden="1" x14ac:dyDescent="0.2">
      <c r="A648" s="186" t="s">
        <v>137</v>
      </c>
      <c r="B648" s="128">
        <f t="shared" si="67"/>
        <v>39</v>
      </c>
      <c r="C648" s="128" t="s">
        <v>1903</v>
      </c>
      <c r="D648" s="128" t="s">
        <v>1904</v>
      </c>
      <c r="E648" s="127">
        <v>500</v>
      </c>
      <c r="F648" s="127">
        <v>97111669</v>
      </c>
      <c r="G648" s="127" t="s">
        <v>1643</v>
      </c>
      <c r="H648" s="187"/>
      <c r="I648" s="187"/>
      <c r="P648" t="str">
        <f t="shared" si="68"/>
        <v>VILLEMER39</v>
      </c>
      <c r="Q648" t="str">
        <f t="shared" si="63"/>
        <v>REFAUVELET</v>
      </c>
      <c r="R648" t="str">
        <f t="shared" si="64"/>
        <v>Gérard</v>
      </c>
      <c r="S648">
        <f t="shared" si="65"/>
        <v>500</v>
      </c>
      <c r="T648">
        <f t="shared" si="66"/>
        <v>97111669</v>
      </c>
      <c r="U648" t="s">
        <v>2019</v>
      </c>
    </row>
    <row r="649" spans="1:21" hidden="1" x14ac:dyDescent="0.2">
      <c r="A649" s="186" t="s">
        <v>137</v>
      </c>
      <c r="B649" s="128">
        <f t="shared" si="67"/>
        <v>40</v>
      </c>
      <c r="C649" s="128" t="s">
        <v>1264</v>
      </c>
      <c r="D649" s="128" t="s">
        <v>1348</v>
      </c>
      <c r="E649" s="127">
        <v>500</v>
      </c>
      <c r="F649" s="127">
        <v>97103024</v>
      </c>
      <c r="G649" s="127" t="s">
        <v>1643</v>
      </c>
      <c r="H649" s="187"/>
      <c r="I649" s="187"/>
      <c r="P649" t="str">
        <f t="shared" si="68"/>
        <v>VILLEMER40</v>
      </c>
      <c r="Q649" t="str">
        <f t="shared" si="63"/>
        <v>ROCHET</v>
      </c>
      <c r="R649" t="str">
        <f t="shared" si="64"/>
        <v>Nael</v>
      </c>
      <c r="S649">
        <f t="shared" si="65"/>
        <v>500</v>
      </c>
      <c r="T649">
        <f t="shared" si="66"/>
        <v>97103024</v>
      </c>
      <c r="U649" t="s">
        <v>1499</v>
      </c>
    </row>
    <row r="650" spans="1:21" hidden="1" x14ac:dyDescent="0.2">
      <c r="A650" s="186" t="s">
        <v>137</v>
      </c>
      <c r="B650" s="128">
        <f t="shared" si="67"/>
        <v>41</v>
      </c>
      <c r="C650" s="128" t="s">
        <v>1906</v>
      </c>
      <c r="D650" s="128" t="s">
        <v>1907</v>
      </c>
      <c r="E650" s="127">
        <v>500</v>
      </c>
      <c r="F650" s="127">
        <v>97110189</v>
      </c>
      <c r="G650" s="127" t="s">
        <v>1643</v>
      </c>
      <c r="H650" s="187"/>
      <c r="I650" s="187"/>
      <c r="P650" t="str">
        <f t="shared" si="68"/>
        <v>VILLEMER41</v>
      </c>
      <c r="Q650" t="str">
        <f t="shared" ref="Q650:Q713" si="69">C650</f>
        <v>RODOT</v>
      </c>
      <c r="R650" t="str">
        <f t="shared" ref="R650:R713" si="70">D650</f>
        <v>Camyll</v>
      </c>
      <c r="S650">
        <f t="shared" ref="S650:S713" si="71">E650</f>
        <v>500</v>
      </c>
      <c r="T650">
        <f t="shared" ref="T650:T713" si="72">F650</f>
        <v>97110189</v>
      </c>
      <c r="U650" t="s">
        <v>2020</v>
      </c>
    </row>
    <row r="651" spans="1:21" hidden="1" x14ac:dyDescent="0.2">
      <c r="A651" s="186" t="s">
        <v>137</v>
      </c>
      <c r="B651" s="128">
        <f t="shared" si="67"/>
        <v>42</v>
      </c>
      <c r="C651" s="128" t="s">
        <v>1906</v>
      </c>
      <c r="D651" s="128" t="s">
        <v>1908</v>
      </c>
      <c r="E651" s="127">
        <v>500</v>
      </c>
      <c r="F651" s="127">
        <v>97110190</v>
      </c>
      <c r="G651" s="127" t="s">
        <v>1643</v>
      </c>
      <c r="H651" s="187"/>
      <c r="I651" s="187"/>
      <c r="P651" t="str">
        <f t="shared" si="68"/>
        <v>VILLEMER42</v>
      </c>
      <c r="Q651" t="str">
        <f t="shared" si="69"/>
        <v>RODOT</v>
      </c>
      <c r="R651" t="str">
        <f t="shared" si="70"/>
        <v>Lucyan</v>
      </c>
      <c r="S651">
        <f t="shared" si="71"/>
        <v>500</v>
      </c>
      <c r="T651">
        <f t="shared" si="72"/>
        <v>97110190</v>
      </c>
      <c r="U651" t="s">
        <v>2021</v>
      </c>
    </row>
    <row r="652" spans="1:21" hidden="1" x14ac:dyDescent="0.2">
      <c r="A652" s="186" t="s">
        <v>137</v>
      </c>
      <c r="B652" s="128">
        <f t="shared" si="67"/>
        <v>43</v>
      </c>
      <c r="C652" s="128" t="s">
        <v>1635</v>
      </c>
      <c r="D652" s="128" t="s">
        <v>290</v>
      </c>
      <c r="E652" s="127">
        <v>500</v>
      </c>
      <c r="F652" s="127">
        <v>97108658</v>
      </c>
      <c r="G652" s="127" t="s">
        <v>1643</v>
      </c>
      <c r="H652" s="187"/>
      <c r="I652" s="187"/>
      <c r="P652" t="str">
        <f t="shared" si="68"/>
        <v>VILLEMER43</v>
      </c>
      <c r="Q652" t="str">
        <f t="shared" si="69"/>
        <v>SEGONDAT</v>
      </c>
      <c r="R652" t="str">
        <f t="shared" si="70"/>
        <v>Alexandre</v>
      </c>
      <c r="S652">
        <f t="shared" si="71"/>
        <v>500</v>
      </c>
      <c r="T652">
        <f t="shared" si="72"/>
        <v>97108658</v>
      </c>
      <c r="U652" t="s">
        <v>1658</v>
      </c>
    </row>
    <row r="653" spans="1:21" hidden="1" x14ac:dyDescent="0.2">
      <c r="A653" s="186" t="s">
        <v>137</v>
      </c>
      <c r="B653" s="128">
        <f t="shared" si="67"/>
        <v>44</v>
      </c>
      <c r="C653" s="128" t="s">
        <v>836</v>
      </c>
      <c r="D653" s="128" t="s">
        <v>335</v>
      </c>
      <c r="E653" s="127">
        <v>500</v>
      </c>
      <c r="F653" s="127">
        <v>97092917</v>
      </c>
      <c r="G653" s="127" t="s">
        <v>1856</v>
      </c>
      <c r="H653" s="187"/>
      <c r="I653" s="187"/>
      <c r="P653" t="str">
        <f t="shared" si="68"/>
        <v>VILLEMER44</v>
      </c>
      <c r="Q653" t="str">
        <f t="shared" si="69"/>
        <v>TAROU</v>
      </c>
      <c r="R653" t="str">
        <f t="shared" si="70"/>
        <v>Michel</v>
      </c>
      <c r="S653">
        <f t="shared" si="71"/>
        <v>500</v>
      </c>
      <c r="T653">
        <f t="shared" si="72"/>
        <v>97092917</v>
      </c>
      <c r="U653" t="s">
        <v>897</v>
      </c>
    </row>
    <row r="654" spans="1:21" hidden="1" x14ac:dyDescent="0.2">
      <c r="A654" s="186" t="s">
        <v>137</v>
      </c>
      <c r="B654" s="128">
        <f t="shared" si="67"/>
        <v>45</v>
      </c>
      <c r="C654" s="128" t="s">
        <v>1079</v>
      </c>
      <c r="D654" s="128" t="s">
        <v>1097</v>
      </c>
      <c r="E654" s="127">
        <v>500</v>
      </c>
      <c r="F654" s="127">
        <v>97101747</v>
      </c>
      <c r="G654" s="127" t="s">
        <v>1856</v>
      </c>
      <c r="H654" s="187"/>
      <c r="I654" s="187"/>
      <c r="P654" t="str">
        <f t="shared" si="68"/>
        <v>VILLEMER45</v>
      </c>
      <c r="Q654" t="str">
        <f t="shared" si="69"/>
        <v>TESSIER CERTAIN</v>
      </c>
      <c r="R654" t="str">
        <f t="shared" si="70"/>
        <v>Colin</v>
      </c>
      <c r="S654">
        <f t="shared" si="71"/>
        <v>500</v>
      </c>
      <c r="T654">
        <f t="shared" si="72"/>
        <v>97101747</v>
      </c>
      <c r="U654" t="s">
        <v>1124</v>
      </c>
    </row>
    <row r="655" spans="1:21" hidden="1" x14ac:dyDescent="0.2">
      <c r="A655" s="186" t="s">
        <v>137</v>
      </c>
      <c r="B655" s="128">
        <f t="shared" si="67"/>
        <v>46</v>
      </c>
      <c r="C655" s="128" t="s">
        <v>1810</v>
      </c>
      <c r="D655" s="128" t="s">
        <v>1909</v>
      </c>
      <c r="E655" s="127">
        <v>500</v>
      </c>
      <c r="F655" s="127">
        <v>97111670</v>
      </c>
      <c r="G655" s="127" t="s">
        <v>1643</v>
      </c>
      <c r="H655" s="187"/>
      <c r="I655" s="187"/>
      <c r="P655" t="str">
        <f t="shared" si="68"/>
        <v>VILLEMER46</v>
      </c>
      <c r="Q655" t="str">
        <f t="shared" si="69"/>
        <v>TOMAS SOLDATI</v>
      </c>
      <c r="R655" t="str">
        <f t="shared" si="70"/>
        <v>Camille</v>
      </c>
      <c r="S655">
        <f t="shared" si="71"/>
        <v>500</v>
      </c>
      <c r="T655">
        <f t="shared" si="72"/>
        <v>97111670</v>
      </c>
      <c r="U655" t="s">
        <v>2022</v>
      </c>
    </row>
    <row r="656" spans="1:21" hidden="1" x14ac:dyDescent="0.2">
      <c r="A656" s="186" t="s">
        <v>137</v>
      </c>
      <c r="B656" s="128">
        <f t="shared" si="67"/>
        <v>47</v>
      </c>
      <c r="C656" s="128" t="s">
        <v>1810</v>
      </c>
      <c r="D656" s="128" t="s">
        <v>575</v>
      </c>
      <c r="E656" s="127">
        <v>500</v>
      </c>
      <c r="F656" s="127">
        <v>97056359</v>
      </c>
      <c r="G656" s="127" t="s">
        <v>1643</v>
      </c>
      <c r="H656" s="187"/>
      <c r="I656" s="187"/>
      <c r="P656" t="str">
        <f t="shared" si="68"/>
        <v>VILLEMER47</v>
      </c>
      <c r="Q656" t="str">
        <f t="shared" si="69"/>
        <v>TOMAS SOLDATI</v>
      </c>
      <c r="R656" t="str">
        <f t="shared" si="70"/>
        <v>Louis</v>
      </c>
      <c r="S656">
        <f t="shared" si="71"/>
        <v>500</v>
      </c>
      <c r="T656">
        <f t="shared" si="72"/>
        <v>97056359</v>
      </c>
      <c r="U656" t="s">
        <v>1841</v>
      </c>
    </row>
    <row r="657" spans="1:21" hidden="1" x14ac:dyDescent="0.2">
      <c r="A657" s="186" t="s">
        <v>137</v>
      </c>
      <c r="B657" s="128">
        <f t="shared" si="67"/>
        <v>48</v>
      </c>
      <c r="C657" s="128" t="s">
        <v>1080</v>
      </c>
      <c r="D657" s="128" t="s">
        <v>945</v>
      </c>
      <c r="E657" s="127">
        <v>500</v>
      </c>
      <c r="F657" s="127">
        <v>97101748</v>
      </c>
      <c r="G657" s="127" t="s">
        <v>1643</v>
      </c>
      <c r="H657" s="187"/>
      <c r="I657" s="187"/>
      <c r="P657" t="str">
        <f t="shared" si="68"/>
        <v>VILLEMER48</v>
      </c>
      <c r="Q657" t="str">
        <f t="shared" si="69"/>
        <v>VANLERBERGHE</v>
      </c>
      <c r="R657" t="str">
        <f t="shared" si="70"/>
        <v>Marie</v>
      </c>
      <c r="S657">
        <f t="shared" si="71"/>
        <v>500</v>
      </c>
      <c r="T657">
        <f t="shared" si="72"/>
        <v>97101748</v>
      </c>
      <c r="U657" t="s">
        <v>1125</v>
      </c>
    </row>
    <row r="658" spans="1:21" hidden="1" x14ac:dyDescent="0.2">
      <c r="A658" s="186" t="s">
        <v>137</v>
      </c>
      <c r="B658" s="128">
        <f t="shared" si="67"/>
        <v>49</v>
      </c>
      <c r="C658" s="128" t="s">
        <v>1811</v>
      </c>
      <c r="D658" s="128" t="s">
        <v>356</v>
      </c>
      <c r="E658" s="127">
        <v>500</v>
      </c>
      <c r="F658" s="127">
        <v>87465164</v>
      </c>
      <c r="G658" s="127" t="s">
        <v>1643</v>
      </c>
      <c r="H658" s="187"/>
      <c r="I658" s="187"/>
      <c r="P658" t="str">
        <f t="shared" si="68"/>
        <v>VILLEMER49</v>
      </c>
      <c r="Q658" t="str">
        <f t="shared" si="69"/>
        <v>YHUEL</v>
      </c>
      <c r="R658" t="str">
        <f t="shared" si="70"/>
        <v>Mathis</v>
      </c>
      <c r="S658">
        <f t="shared" si="71"/>
        <v>500</v>
      </c>
      <c r="T658">
        <f t="shared" si="72"/>
        <v>87465164</v>
      </c>
      <c r="U658" t="s">
        <v>1842</v>
      </c>
    </row>
    <row r="659" spans="1:21" hidden="1" x14ac:dyDescent="0.2">
      <c r="A659" s="186" t="s">
        <v>140</v>
      </c>
      <c r="B659" s="128">
        <f t="shared" si="67"/>
        <v>1</v>
      </c>
      <c r="C659" s="128" t="s">
        <v>119</v>
      </c>
      <c r="D659" s="128" t="s">
        <v>288</v>
      </c>
      <c r="E659" s="127">
        <v>500</v>
      </c>
      <c r="F659" s="127">
        <v>87461743</v>
      </c>
      <c r="G659" s="127" t="s">
        <v>1643</v>
      </c>
      <c r="H659" s="187"/>
      <c r="I659" s="187"/>
      <c r="P659" t="str">
        <f t="shared" si="68"/>
        <v>VOISENON1</v>
      </c>
      <c r="Q659" t="str">
        <f t="shared" si="69"/>
        <v>AKRICH</v>
      </c>
      <c r="R659" t="str">
        <f t="shared" si="70"/>
        <v>Paul</v>
      </c>
      <c r="S659">
        <f t="shared" si="71"/>
        <v>500</v>
      </c>
      <c r="T659">
        <f t="shared" si="72"/>
        <v>87461743</v>
      </c>
      <c r="U659" t="s">
        <v>563</v>
      </c>
    </row>
    <row r="660" spans="1:21" hidden="1" x14ac:dyDescent="0.2">
      <c r="A660" s="186" t="s">
        <v>140</v>
      </c>
      <c r="B660" s="128">
        <f t="shared" si="67"/>
        <v>2</v>
      </c>
      <c r="C660" s="128" t="s">
        <v>1138</v>
      </c>
      <c r="D660" s="128" t="s">
        <v>1270</v>
      </c>
      <c r="E660" s="127">
        <v>500</v>
      </c>
      <c r="F660" s="127">
        <v>97105758</v>
      </c>
      <c r="G660" s="127" t="s">
        <v>1643</v>
      </c>
      <c r="H660" s="187"/>
      <c r="I660" s="187"/>
      <c r="P660" t="str">
        <f t="shared" si="68"/>
        <v>VOISENON2</v>
      </c>
      <c r="Q660" t="str">
        <f t="shared" si="69"/>
        <v>BARLIEU</v>
      </c>
      <c r="R660" t="str">
        <f t="shared" si="70"/>
        <v>Mohamad</v>
      </c>
      <c r="S660">
        <f t="shared" si="71"/>
        <v>500</v>
      </c>
      <c r="T660">
        <f t="shared" si="72"/>
        <v>97105758</v>
      </c>
      <c r="U660" t="s">
        <v>1352</v>
      </c>
    </row>
    <row r="661" spans="1:21" hidden="1" x14ac:dyDescent="0.2">
      <c r="A661" s="186" t="s">
        <v>140</v>
      </c>
      <c r="B661" s="128">
        <f t="shared" si="67"/>
        <v>3</v>
      </c>
      <c r="C661" s="128" t="s">
        <v>1763</v>
      </c>
      <c r="D661" s="128" t="s">
        <v>1764</v>
      </c>
      <c r="E661" s="127">
        <v>500</v>
      </c>
      <c r="F661" s="127">
        <v>97109894</v>
      </c>
      <c r="G661" s="127" t="s">
        <v>1643</v>
      </c>
      <c r="H661" s="187"/>
      <c r="I661" s="187"/>
      <c r="P661" t="str">
        <f t="shared" si="68"/>
        <v>VOISENON3</v>
      </c>
      <c r="Q661" t="str">
        <f t="shared" si="69"/>
        <v>BOBINEAU</v>
      </c>
      <c r="R661" t="str">
        <f t="shared" si="70"/>
        <v>Shalyna</v>
      </c>
      <c r="S661">
        <f t="shared" si="71"/>
        <v>500</v>
      </c>
      <c r="T661">
        <f t="shared" si="72"/>
        <v>97109894</v>
      </c>
      <c r="U661" t="s">
        <v>1843</v>
      </c>
    </row>
    <row r="662" spans="1:21" hidden="1" x14ac:dyDescent="0.2">
      <c r="A662" s="186" t="s">
        <v>140</v>
      </c>
      <c r="B662" s="128">
        <f t="shared" si="67"/>
        <v>4</v>
      </c>
      <c r="C662" s="128" t="s">
        <v>1762</v>
      </c>
      <c r="D662" s="128" t="s">
        <v>283</v>
      </c>
      <c r="E662" s="127">
        <v>500</v>
      </c>
      <c r="F662" s="127">
        <v>97109895</v>
      </c>
      <c r="G662" s="127" t="s">
        <v>1643</v>
      </c>
      <c r="H662" s="187"/>
      <c r="I662" s="187"/>
      <c r="P662" t="str">
        <f t="shared" si="68"/>
        <v>VOISENON4</v>
      </c>
      <c r="Q662" t="str">
        <f t="shared" si="69"/>
        <v>BOURDETTE</v>
      </c>
      <c r="R662" t="str">
        <f t="shared" si="70"/>
        <v>Pierre</v>
      </c>
      <c r="S662">
        <f t="shared" si="71"/>
        <v>500</v>
      </c>
      <c r="T662">
        <f t="shared" si="72"/>
        <v>97109895</v>
      </c>
      <c r="U662" t="s">
        <v>1844</v>
      </c>
    </row>
    <row r="663" spans="1:21" hidden="1" x14ac:dyDescent="0.2">
      <c r="A663" s="186" t="s">
        <v>140</v>
      </c>
      <c r="B663" s="128">
        <f t="shared" si="67"/>
        <v>5</v>
      </c>
      <c r="C663" s="128" t="s">
        <v>825</v>
      </c>
      <c r="D663" s="128" t="s">
        <v>490</v>
      </c>
      <c r="E663" s="127">
        <v>500</v>
      </c>
      <c r="F663" s="127">
        <v>97073659</v>
      </c>
      <c r="G663" s="127" t="s">
        <v>1643</v>
      </c>
      <c r="H663" s="187"/>
      <c r="I663" s="187"/>
      <c r="P663" t="str">
        <f t="shared" si="68"/>
        <v>VOISENON5</v>
      </c>
      <c r="Q663" t="str">
        <f t="shared" si="69"/>
        <v>BOURGEAUX</v>
      </c>
      <c r="R663" t="str">
        <f t="shared" si="70"/>
        <v>Sophie</v>
      </c>
      <c r="S663">
        <f t="shared" si="71"/>
        <v>500</v>
      </c>
      <c r="T663">
        <f t="shared" si="72"/>
        <v>97073659</v>
      </c>
      <c r="U663" t="s">
        <v>887</v>
      </c>
    </row>
    <row r="664" spans="1:21" hidden="1" x14ac:dyDescent="0.2">
      <c r="A664" s="186" t="s">
        <v>140</v>
      </c>
      <c r="B664" s="128">
        <f t="shared" si="67"/>
        <v>6</v>
      </c>
      <c r="C664" s="128" t="s">
        <v>1062</v>
      </c>
      <c r="D664" s="128" t="s">
        <v>768</v>
      </c>
      <c r="E664" s="127">
        <v>500</v>
      </c>
      <c r="F664" s="127">
        <v>97102234</v>
      </c>
      <c r="G664" s="127" t="s">
        <v>1643</v>
      </c>
      <c r="H664" s="187"/>
      <c r="I664" s="187"/>
      <c r="P664" t="str">
        <f t="shared" si="68"/>
        <v>VOISENON6</v>
      </c>
      <c r="Q664" t="str">
        <f t="shared" si="69"/>
        <v>CHEVALLIER</v>
      </c>
      <c r="R664" t="str">
        <f t="shared" si="70"/>
        <v>Joël</v>
      </c>
      <c r="S664">
        <f t="shared" si="71"/>
        <v>500</v>
      </c>
      <c r="T664">
        <f t="shared" si="72"/>
        <v>97102234</v>
      </c>
      <c r="U664" t="s">
        <v>885</v>
      </c>
    </row>
    <row r="665" spans="1:21" hidden="1" x14ac:dyDescent="0.2">
      <c r="A665" s="186" t="s">
        <v>140</v>
      </c>
      <c r="B665" s="128">
        <f t="shared" si="67"/>
        <v>7</v>
      </c>
      <c r="C665" s="128" t="s">
        <v>1137</v>
      </c>
      <c r="D665" s="128" t="s">
        <v>1269</v>
      </c>
      <c r="E665" s="127">
        <v>500</v>
      </c>
      <c r="F665" s="127">
        <v>97063455</v>
      </c>
      <c r="G665" s="127" t="s">
        <v>1856</v>
      </c>
      <c r="H665" s="187"/>
      <c r="I665" s="187"/>
      <c r="P665" t="str">
        <f t="shared" si="68"/>
        <v>VOISENON7</v>
      </c>
      <c r="Q665" t="str">
        <f t="shared" si="69"/>
        <v>COUDRAT YVARS</v>
      </c>
      <c r="R665" t="str">
        <f t="shared" si="70"/>
        <v>Léandre</v>
      </c>
      <c r="S665">
        <f t="shared" si="71"/>
        <v>500</v>
      </c>
      <c r="T665">
        <f t="shared" si="72"/>
        <v>97063455</v>
      </c>
      <c r="U665" t="s">
        <v>1504</v>
      </c>
    </row>
    <row r="666" spans="1:21" hidden="1" x14ac:dyDescent="0.2">
      <c r="A666" s="186" t="s">
        <v>140</v>
      </c>
      <c r="B666" s="128">
        <f t="shared" si="67"/>
        <v>8</v>
      </c>
      <c r="C666" s="128" t="s">
        <v>1765</v>
      </c>
      <c r="D666" s="128" t="s">
        <v>1766</v>
      </c>
      <c r="E666" s="127">
        <v>500</v>
      </c>
      <c r="F666" s="127">
        <v>87458334</v>
      </c>
      <c r="G666" s="127" t="s">
        <v>1643</v>
      </c>
      <c r="H666" s="187"/>
      <c r="I666" s="187"/>
      <c r="P666" t="str">
        <f t="shared" si="68"/>
        <v>VOISENON8</v>
      </c>
      <c r="Q666" t="str">
        <f t="shared" si="69"/>
        <v xml:space="preserve">DE AVEIRO </v>
      </c>
      <c r="R666" t="str">
        <f t="shared" si="70"/>
        <v>Adriano</v>
      </c>
      <c r="S666">
        <f t="shared" si="71"/>
        <v>500</v>
      </c>
      <c r="T666">
        <f t="shared" si="72"/>
        <v>87458334</v>
      </c>
      <c r="U666" t="s">
        <v>2054</v>
      </c>
    </row>
    <row r="667" spans="1:21" hidden="1" x14ac:dyDescent="0.2">
      <c r="A667" s="188" t="s">
        <v>140</v>
      </c>
      <c r="B667" s="128">
        <f t="shared" si="67"/>
        <v>9</v>
      </c>
      <c r="C667" s="189" t="s">
        <v>268</v>
      </c>
      <c r="D667" s="189" t="s">
        <v>293</v>
      </c>
      <c r="E667" s="127">
        <v>563</v>
      </c>
      <c r="F667" s="189">
        <v>97066896</v>
      </c>
      <c r="G667" s="127" t="s">
        <v>1643</v>
      </c>
      <c r="H667" s="187"/>
      <c r="I667" s="187"/>
      <c r="P667" t="str">
        <f t="shared" si="68"/>
        <v>VOISENON9</v>
      </c>
      <c r="Q667" t="str">
        <f t="shared" si="69"/>
        <v>DROUAULT</v>
      </c>
      <c r="R667" t="str">
        <f t="shared" si="70"/>
        <v>Christophe</v>
      </c>
      <c r="S667">
        <f t="shared" si="71"/>
        <v>563</v>
      </c>
      <c r="T667">
        <f t="shared" si="72"/>
        <v>97066896</v>
      </c>
      <c r="U667" t="s">
        <v>564</v>
      </c>
    </row>
    <row r="668" spans="1:21" hidden="1" x14ac:dyDescent="0.2">
      <c r="A668" s="186" t="s">
        <v>140</v>
      </c>
      <c r="B668" s="128">
        <f t="shared" si="67"/>
        <v>10</v>
      </c>
      <c r="C668" s="128" t="s">
        <v>824</v>
      </c>
      <c r="D668" s="128" t="s">
        <v>860</v>
      </c>
      <c r="E668" s="127">
        <v>500</v>
      </c>
      <c r="F668" s="127">
        <v>97093556</v>
      </c>
      <c r="G668" s="127" t="s">
        <v>1643</v>
      </c>
      <c r="H668" s="187"/>
      <c r="I668" s="187"/>
      <c r="P668" t="str">
        <f t="shared" si="68"/>
        <v>VOISENON10</v>
      </c>
      <c r="Q668" t="str">
        <f t="shared" si="69"/>
        <v>DUVEAU</v>
      </c>
      <c r="R668" t="str">
        <f t="shared" si="70"/>
        <v>Benoit</v>
      </c>
      <c r="S668">
        <f t="shared" si="71"/>
        <v>500</v>
      </c>
      <c r="T668">
        <f t="shared" si="72"/>
        <v>97093556</v>
      </c>
      <c r="U668" t="s">
        <v>886</v>
      </c>
    </row>
    <row r="669" spans="1:21" hidden="1" x14ac:dyDescent="0.2">
      <c r="A669" s="186" t="s">
        <v>140</v>
      </c>
      <c r="B669" s="128">
        <f t="shared" si="67"/>
        <v>11</v>
      </c>
      <c r="C669" s="128" t="s">
        <v>737</v>
      </c>
      <c r="D669" s="128" t="s">
        <v>309</v>
      </c>
      <c r="E669" s="127">
        <v>500</v>
      </c>
      <c r="F669" s="127">
        <v>97088333</v>
      </c>
      <c r="G669" s="127" t="s">
        <v>1643</v>
      </c>
      <c r="H669" s="187"/>
      <c r="I669" s="187"/>
      <c r="P669" t="str">
        <f t="shared" si="68"/>
        <v>VOISENON11</v>
      </c>
      <c r="Q669" t="str">
        <f t="shared" si="69"/>
        <v>FAURE</v>
      </c>
      <c r="R669" t="str">
        <f t="shared" si="70"/>
        <v>Thierry</v>
      </c>
      <c r="S669">
        <f t="shared" si="71"/>
        <v>500</v>
      </c>
      <c r="T669">
        <f t="shared" si="72"/>
        <v>97088333</v>
      </c>
      <c r="U669" t="s">
        <v>770</v>
      </c>
    </row>
    <row r="670" spans="1:21" hidden="1" x14ac:dyDescent="0.2">
      <c r="A670" s="186" t="s">
        <v>140</v>
      </c>
      <c r="B670" s="128">
        <f t="shared" si="67"/>
        <v>12</v>
      </c>
      <c r="C670" s="128" t="s">
        <v>1767</v>
      </c>
      <c r="D670" s="128" t="s">
        <v>290</v>
      </c>
      <c r="E670" s="127">
        <v>500</v>
      </c>
      <c r="F670" s="127">
        <v>87458337</v>
      </c>
      <c r="G670" s="127" t="s">
        <v>1643</v>
      </c>
      <c r="H670" s="187"/>
      <c r="I670" s="187"/>
      <c r="P670" t="str">
        <f t="shared" si="68"/>
        <v>VOISENON12</v>
      </c>
      <c r="Q670" t="str">
        <f t="shared" si="69"/>
        <v>FLUSIN</v>
      </c>
      <c r="R670" t="str">
        <f t="shared" si="70"/>
        <v>Alexandre</v>
      </c>
      <c r="S670">
        <f t="shared" si="71"/>
        <v>500</v>
      </c>
      <c r="T670">
        <f t="shared" si="72"/>
        <v>87458337</v>
      </c>
      <c r="U670" t="s">
        <v>1845</v>
      </c>
    </row>
    <row r="671" spans="1:21" hidden="1" x14ac:dyDescent="0.2">
      <c r="A671" s="186" t="s">
        <v>140</v>
      </c>
      <c r="B671" s="128">
        <f t="shared" si="67"/>
        <v>13</v>
      </c>
      <c r="C671" s="128" t="s">
        <v>1768</v>
      </c>
      <c r="D671" s="128" t="s">
        <v>361</v>
      </c>
      <c r="E671" s="127">
        <v>500</v>
      </c>
      <c r="F671" s="127">
        <v>87458338</v>
      </c>
      <c r="G671" s="127" t="s">
        <v>1643</v>
      </c>
      <c r="H671" s="187"/>
      <c r="I671" s="187"/>
      <c r="P671" t="str">
        <f t="shared" si="68"/>
        <v>VOISENON13</v>
      </c>
      <c r="Q671" t="str">
        <f t="shared" si="69"/>
        <v>FOURNIER</v>
      </c>
      <c r="R671" t="str">
        <f t="shared" si="70"/>
        <v>Eloi</v>
      </c>
      <c r="S671">
        <f t="shared" si="71"/>
        <v>500</v>
      </c>
      <c r="T671">
        <f t="shared" si="72"/>
        <v>87458338</v>
      </c>
      <c r="U671" t="s">
        <v>1846</v>
      </c>
    </row>
    <row r="672" spans="1:21" hidden="1" x14ac:dyDescent="0.2">
      <c r="A672" s="186" t="s">
        <v>140</v>
      </c>
      <c r="B672" s="128">
        <f t="shared" si="67"/>
        <v>14</v>
      </c>
      <c r="C672" s="128" t="s">
        <v>1624</v>
      </c>
      <c r="D672" s="128" t="s">
        <v>1636</v>
      </c>
      <c r="E672" s="127">
        <v>500</v>
      </c>
      <c r="F672" s="127">
        <v>97108728</v>
      </c>
      <c r="G672" s="127" t="s">
        <v>1643</v>
      </c>
      <c r="H672" s="187"/>
      <c r="I672" s="187"/>
      <c r="P672" t="str">
        <f t="shared" si="68"/>
        <v>VOISENON14</v>
      </c>
      <c r="Q672" t="str">
        <f t="shared" si="69"/>
        <v>FRAILLON</v>
      </c>
      <c r="R672" t="str">
        <f t="shared" si="70"/>
        <v>Liam-Alféo</v>
      </c>
      <c r="S672">
        <f t="shared" si="71"/>
        <v>500</v>
      </c>
      <c r="T672">
        <f t="shared" si="72"/>
        <v>97108728</v>
      </c>
      <c r="U672" t="s">
        <v>1644</v>
      </c>
    </row>
    <row r="673" spans="1:21" hidden="1" x14ac:dyDescent="0.2">
      <c r="A673" s="186" t="s">
        <v>140</v>
      </c>
      <c r="B673" s="128">
        <f t="shared" si="67"/>
        <v>15</v>
      </c>
      <c r="C673" s="128" t="s">
        <v>1063</v>
      </c>
      <c r="D673" s="128" t="s">
        <v>1085</v>
      </c>
      <c r="E673" s="127">
        <v>500</v>
      </c>
      <c r="F673" s="127">
        <v>87408922</v>
      </c>
      <c r="G673" s="127" t="s">
        <v>1643</v>
      </c>
      <c r="H673" s="187"/>
      <c r="I673" s="187"/>
      <c r="P673" t="str">
        <f t="shared" si="68"/>
        <v>VOISENON15</v>
      </c>
      <c r="Q673" t="str">
        <f t="shared" si="69"/>
        <v>GILLOTOT</v>
      </c>
      <c r="R673" t="str">
        <f t="shared" si="70"/>
        <v>Chris</v>
      </c>
      <c r="S673">
        <f t="shared" si="71"/>
        <v>500</v>
      </c>
      <c r="T673">
        <f t="shared" si="72"/>
        <v>87408922</v>
      </c>
      <c r="U673" t="s">
        <v>1103</v>
      </c>
    </row>
    <row r="674" spans="1:21" hidden="1" x14ac:dyDescent="0.2">
      <c r="A674" s="186" t="s">
        <v>140</v>
      </c>
      <c r="B674" s="128">
        <f t="shared" si="67"/>
        <v>16</v>
      </c>
      <c r="C674" s="128" t="s">
        <v>1916</v>
      </c>
      <c r="D674" s="128" t="s">
        <v>1917</v>
      </c>
      <c r="E674" s="127">
        <v>500</v>
      </c>
      <c r="F674" s="127">
        <v>97110739</v>
      </c>
      <c r="G674" s="127" t="s">
        <v>1643</v>
      </c>
      <c r="H674" s="187"/>
      <c r="I674" s="187"/>
      <c r="P674" t="str">
        <f t="shared" si="68"/>
        <v>VOISENON16</v>
      </c>
      <c r="Q674" t="str">
        <f t="shared" si="69"/>
        <v>INIZIAN</v>
      </c>
      <c r="R674" t="str">
        <f t="shared" si="70"/>
        <v>Joris</v>
      </c>
      <c r="S674">
        <f t="shared" si="71"/>
        <v>500</v>
      </c>
      <c r="T674">
        <f t="shared" si="72"/>
        <v>97110739</v>
      </c>
      <c r="U674" t="s">
        <v>2023</v>
      </c>
    </row>
    <row r="675" spans="1:21" hidden="1" x14ac:dyDescent="0.2">
      <c r="A675" s="186" t="s">
        <v>140</v>
      </c>
      <c r="B675" s="128">
        <f t="shared" si="67"/>
        <v>17</v>
      </c>
      <c r="C675" s="128" t="s">
        <v>1912</v>
      </c>
      <c r="D675" s="128" t="s">
        <v>1913</v>
      </c>
      <c r="E675" s="127">
        <v>500</v>
      </c>
      <c r="F675" s="127">
        <v>87466363</v>
      </c>
      <c r="G675" s="127" t="s">
        <v>1643</v>
      </c>
      <c r="H675" s="187"/>
      <c r="I675" s="187"/>
      <c r="P675" t="str">
        <f t="shared" si="68"/>
        <v>VOISENON17</v>
      </c>
      <c r="Q675" t="str">
        <f t="shared" si="69"/>
        <v>LAMOTTE</v>
      </c>
      <c r="R675" t="str">
        <f t="shared" si="70"/>
        <v>Eliza</v>
      </c>
      <c r="S675">
        <f t="shared" si="71"/>
        <v>500</v>
      </c>
      <c r="T675">
        <f t="shared" si="72"/>
        <v>87466363</v>
      </c>
      <c r="U675" t="s">
        <v>2024</v>
      </c>
    </row>
    <row r="676" spans="1:21" hidden="1" x14ac:dyDescent="0.2">
      <c r="A676" s="186" t="s">
        <v>140</v>
      </c>
      <c r="B676" s="128">
        <f t="shared" si="67"/>
        <v>18</v>
      </c>
      <c r="C676" s="128" t="s">
        <v>1002</v>
      </c>
      <c r="D676" s="128" t="s">
        <v>1008</v>
      </c>
      <c r="E676" s="127">
        <v>500</v>
      </c>
      <c r="F676" s="127">
        <v>97099482</v>
      </c>
      <c r="G676" s="127" t="s">
        <v>1856</v>
      </c>
      <c r="H676" s="187"/>
      <c r="I676" s="187"/>
      <c r="P676" t="str">
        <f t="shared" si="68"/>
        <v>VOISENON18</v>
      </c>
      <c r="Q676" t="str">
        <f t="shared" si="69"/>
        <v>LEROY</v>
      </c>
      <c r="R676" t="str">
        <f t="shared" si="70"/>
        <v>Lukas</v>
      </c>
      <c r="S676">
        <f t="shared" si="71"/>
        <v>500</v>
      </c>
      <c r="T676">
        <f t="shared" si="72"/>
        <v>97099482</v>
      </c>
      <c r="U676" t="s">
        <v>1015</v>
      </c>
    </row>
    <row r="677" spans="1:21" hidden="1" x14ac:dyDescent="0.2">
      <c r="A677" s="186" t="s">
        <v>140</v>
      </c>
      <c r="B677" s="128">
        <f t="shared" si="67"/>
        <v>19</v>
      </c>
      <c r="C677" s="128" t="s">
        <v>1061</v>
      </c>
      <c r="D677" s="128" t="s">
        <v>306</v>
      </c>
      <c r="E677" s="127">
        <v>500</v>
      </c>
      <c r="F677" s="127">
        <v>87450385</v>
      </c>
      <c r="G677" s="127" t="s">
        <v>1643</v>
      </c>
      <c r="H677" s="187"/>
      <c r="I677" s="187"/>
      <c r="P677" t="str">
        <f t="shared" si="68"/>
        <v>VOISENON19</v>
      </c>
      <c r="Q677" t="str">
        <f t="shared" si="69"/>
        <v>LIDEC</v>
      </c>
      <c r="R677" t="str">
        <f t="shared" si="70"/>
        <v>Valentin</v>
      </c>
      <c r="S677">
        <f t="shared" si="71"/>
        <v>500</v>
      </c>
      <c r="T677">
        <f t="shared" si="72"/>
        <v>87450385</v>
      </c>
      <c r="U677" t="s">
        <v>1102</v>
      </c>
    </row>
    <row r="678" spans="1:21" hidden="1" x14ac:dyDescent="0.2">
      <c r="A678" s="186" t="s">
        <v>140</v>
      </c>
      <c r="B678" s="128">
        <f t="shared" si="67"/>
        <v>20</v>
      </c>
      <c r="C678" s="128" t="s">
        <v>1139</v>
      </c>
      <c r="D678" s="128" t="s">
        <v>323</v>
      </c>
      <c r="E678" s="127">
        <v>500</v>
      </c>
      <c r="F678" s="127">
        <v>97104281</v>
      </c>
      <c r="G678" s="127" t="s">
        <v>1643</v>
      </c>
      <c r="H678" s="187"/>
      <c r="I678" s="187"/>
      <c r="P678" t="str">
        <f t="shared" si="68"/>
        <v>VOISENON20</v>
      </c>
      <c r="Q678" t="str">
        <f t="shared" si="69"/>
        <v>NION</v>
      </c>
      <c r="R678" t="str">
        <f t="shared" si="70"/>
        <v>Agnes</v>
      </c>
      <c r="S678">
        <f t="shared" si="71"/>
        <v>500</v>
      </c>
      <c r="T678">
        <f t="shared" si="72"/>
        <v>97104281</v>
      </c>
      <c r="U678" t="s">
        <v>1354</v>
      </c>
    </row>
    <row r="679" spans="1:21" hidden="1" x14ac:dyDescent="0.2">
      <c r="A679" s="186" t="s">
        <v>140</v>
      </c>
      <c r="B679" s="128">
        <f t="shared" si="67"/>
        <v>21</v>
      </c>
      <c r="C679" s="128" t="s">
        <v>1139</v>
      </c>
      <c r="D679" s="128" t="s">
        <v>876</v>
      </c>
      <c r="E679" s="127">
        <v>500</v>
      </c>
      <c r="F679" s="127">
        <v>97104282</v>
      </c>
      <c r="G679" s="127" t="s">
        <v>1643</v>
      </c>
      <c r="H679" s="187"/>
      <c r="I679" s="187"/>
      <c r="P679" t="str">
        <f t="shared" si="68"/>
        <v>VOISENON21</v>
      </c>
      <c r="Q679" t="str">
        <f t="shared" si="69"/>
        <v>NION</v>
      </c>
      <c r="R679" t="str">
        <f t="shared" si="70"/>
        <v>Raphael</v>
      </c>
      <c r="S679">
        <f t="shared" si="71"/>
        <v>500</v>
      </c>
      <c r="T679">
        <f t="shared" si="72"/>
        <v>97104282</v>
      </c>
      <c r="U679" t="s">
        <v>1353</v>
      </c>
    </row>
    <row r="680" spans="1:21" hidden="1" x14ac:dyDescent="0.2">
      <c r="A680" s="186" t="s">
        <v>140</v>
      </c>
      <c r="B680" s="128">
        <f t="shared" si="67"/>
        <v>22</v>
      </c>
      <c r="C680" s="128" t="s">
        <v>1914</v>
      </c>
      <c r="D680" s="128" t="s">
        <v>1915</v>
      </c>
      <c r="E680" s="127">
        <v>500</v>
      </c>
      <c r="F680" s="127">
        <v>55329632</v>
      </c>
      <c r="G680" s="127" t="s">
        <v>1643</v>
      </c>
      <c r="H680" s="187"/>
      <c r="I680" s="187"/>
      <c r="P680" t="str">
        <f t="shared" si="68"/>
        <v>VOISENON22</v>
      </c>
      <c r="Q680" t="str">
        <f t="shared" si="69"/>
        <v>PAUPE</v>
      </c>
      <c r="R680" t="str">
        <f t="shared" si="70"/>
        <v>François</v>
      </c>
      <c r="S680">
        <f t="shared" si="71"/>
        <v>500</v>
      </c>
      <c r="T680">
        <f t="shared" si="72"/>
        <v>55329632</v>
      </c>
      <c r="U680" t="s">
        <v>2025</v>
      </c>
    </row>
    <row r="681" spans="1:21" hidden="1" x14ac:dyDescent="0.2">
      <c r="A681" s="186" t="s">
        <v>140</v>
      </c>
      <c r="B681" s="128">
        <f t="shared" ref="B681:B713" si="73">IF(A681=A680,B680+1,1)</f>
        <v>23</v>
      </c>
      <c r="C681" s="128" t="s">
        <v>1060</v>
      </c>
      <c r="D681" s="128" t="s">
        <v>306</v>
      </c>
      <c r="E681" s="127">
        <v>500</v>
      </c>
      <c r="F681" s="127">
        <v>97102235</v>
      </c>
      <c r="G681" s="127" t="s">
        <v>1856</v>
      </c>
      <c r="H681" s="187"/>
      <c r="I681" s="187"/>
      <c r="P681" t="str">
        <f t="shared" ref="P681:P748" si="74">A681&amp;B681</f>
        <v>VOISENON23</v>
      </c>
      <c r="Q681" t="str">
        <f t="shared" si="69"/>
        <v>PEREIRA-ESTEVES</v>
      </c>
      <c r="R681" t="str">
        <f t="shared" si="70"/>
        <v>Valentin</v>
      </c>
      <c r="S681">
        <f t="shared" si="71"/>
        <v>500</v>
      </c>
      <c r="T681">
        <f t="shared" si="72"/>
        <v>97102235</v>
      </c>
      <c r="U681" t="s">
        <v>1101</v>
      </c>
    </row>
    <row r="682" spans="1:21" hidden="1" x14ac:dyDescent="0.2">
      <c r="A682" s="186" t="s">
        <v>140</v>
      </c>
      <c r="B682" s="128">
        <f t="shared" si="73"/>
        <v>24</v>
      </c>
      <c r="C682" s="128" t="s">
        <v>1769</v>
      </c>
      <c r="D682" s="128" t="s">
        <v>1770</v>
      </c>
      <c r="E682" s="127">
        <v>500</v>
      </c>
      <c r="F682" s="127">
        <v>87458349</v>
      </c>
      <c r="G682" s="127" t="s">
        <v>1643</v>
      </c>
      <c r="H682" s="187"/>
      <c r="I682" s="187"/>
      <c r="P682" t="str">
        <f t="shared" si="74"/>
        <v>VOISENON24</v>
      </c>
      <c r="Q682" t="str">
        <f t="shared" si="69"/>
        <v>POUGIN</v>
      </c>
      <c r="R682" t="str">
        <f t="shared" si="70"/>
        <v>Charly</v>
      </c>
      <c r="S682">
        <f t="shared" si="71"/>
        <v>500</v>
      </c>
      <c r="T682">
        <f t="shared" si="72"/>
        <v>87458349</v>
      </c>
      <c r="U682" t="s">
        <v>1847</v>
      </c>
    </row>
    <row r="683" spans="1:21" hidden="1" x14ac:dyDescent="0.2">
      <c r="A683" s="186" t="s">
        <v>140</v>
      </c>
      <c r="B683" s="128">
        <f t="shared" si="73"/>
        <v>25</v>
      </c>
      <c r="C683" s="128" t="s">
        <v>1918</v>
      </c>
      <c r="D683" s="128" t="s">
        <v>1919</v>
      </c>
      <c r="E683" s="127">
        <v>677</v>
      </c>
      <c r="F683" s="127">
        <v>97073674</v>
      </c>
      <c r="G683" s="127" t="s">
        <v>1643</v>
      </c>
      <c r="H683" s="187"/>
      <c r="I683" s="187"/>
      <c r="P683" t="str">
        <f t="shared" si="74"/>
        <v>VOISENON25</v>
      </c>
      <c r="Q683" t="str">
        <f t="shared" si="69"/>
        <v>RANAIVOSON</v>
      </c>
      <c r="R683" t="str">
        <f t="shared" si="70"/>
        <v>Heriharijaona</v>
      </c>
      <c r="S683">
        <f t="shared" si="71"/>
        <v>677</v>
      </c>
      <c r="T683">
        <f t="shared" si="72"/>
        <v>97073674</v>
      </c>
      <c r="U683" t="s">
        <v>2026</v>
      </c>
    </row>
    <row r="684" spans="1:21" hidden="1" x14ac:dyDescent="0.2">
      <c r="A684" s="186" t="s">
        <v>140</v>
      </c>
      <c r="B684" s="128">
        <f t="shared" si="73"/>
        <v>26</v>
      </c>
      <c r="C684" s="128" t="s">
        <v>1771</v>
      </c>
      <c r="D684" s="128" t="s">
        <v>280</v>
      </c>
      <c r="E684" s="127">
        <v>500</v>
      </c>
      <c r="F684" s="127">
        <v>97109896</v>
      </c>
      <c r="G684" s="127" t="s">
        <v>1643</v>
      </c>
      <c r="H684" s="187"/>
      <c r="I684" s="187"/>
      <c r="P684" t="str">
        <f t="shared" si="74"/>
        <v>VOISENON26</v>
      </c>
      <c r="Q684" t="str">
        <f t="shared" si="69"/>
        <v>RENARD</v>
      </c>
      <c r="R684" t="str">
        <f t="shared" si="70"/>
        <v>Franck</v>
      </c>
      <c r="S684">
        <f t="shared" si="71"/>
        <v>500</v>
      </c>
      <c r="T684">
        <f t="shared" si="72"/>
        <v>97109896</v>
      </c>
      <c r="U684" t="s">
        <v>1848</v>
      </c>
    </row>
    <row r="685" spans="1:21" hidden="1" x14ac:dyDescent="0.2">
      <c r="A685" s="186" t="s">
        <v>140</v>
      </c>
      <c r="B685" s="128">
        <f t="shared" si="73"/>
        <v>27</v>
      </c>
      <c r="C685" s="128" t="s">
        <v>691</v>
      </c>
      <c r="D685" s="128" t="s">
        <v>283</v>
      </c>
      <c r="E685" s="127">
        <v>500</v>
      </c>
      <c r="F685" s="127">
        <v>97074655</v>
      </c>
      <c r="G685" s="127" t="s">
        <v>1643</v>
      </c>
      <c r="H685" s="187"/>
      <c r="I685" s="187"/>
      <c r="P685" t="str">
        <f t="shared" si="74"/>
        <v>VOISENON27</v>
      </c>
      <c r="Q685" t="str">
        <f t="shared" si="69"/>
        <v>ROUSSEAU</v>
      </c>
      <c r="R685" t="str">
        <f t="shared" si="70"/>
        <v>Pierre</v>
      </c>
      <c r="S685">
        <f t="shared" si="71"/>
        <v>500</v>
      </c>
      <c r="T685">
        <f t="shared" si="72"/>
        <v>97074655</v>
      </c>
      <c r="U685" t="s">
        <v>1849</v>
      </c>
    </row>
    <row r="686" spans="1:21" hidden="1" x14ac:dyDescent="0.2">
      <c r="A686" s="186" t="s">
        <v>140</v>
      </c>
      <c r="B686" s="128">
        <f t="shared" si="73"/>
        <v>28</v>
      </c>
      <c r="C686" s="128" t="s">
        <v>1772</v>
      </c>
      <c r="D686" s="128" t="s">
        <v>1773</v>
      </c>
      <c r="E686" s="127">
        <v>500</v>
      </c>
      <c r="F686" s="127">
        <v>97109897</v>
      </c>
      <c r="G686" s="127" t="s">
        <v>1643</v>
      </c>
      <c r="H686" s="187"/>
      <c r="I686" s="187"/>
      <c r="P686" t="str">
        <f t="shared" si="74"/>
        <v>VOISENON28</v>
      </c>
      <c r="Q686" t="str">
        <f t="shared" si="69"/>
        <v>THOMAS</v>
      </c>
      <c r="R686" t="str">
        <f t="shared" si="70"/>
        <v>Corinne</v>
      </c>
      <c r="S686">
        <f t="shared" si="71"/>
        <v>500</v>
      </c>
      <c r="T686">
        <f t="shared" si="72"/>
        <v>97109897</v>
      </c>
      <c r="U686" t="s">
        <v>1850</v>
      </c>
    </row>
    <row r="687" spans="1:21" hidden="1" x14ac:dyDescent="0.2">
      <c r="A687" s="186" t="s">
        <v>140</v>
      </c>
      <c r="B687" s="128">
        <f t="shared" si="73"/>
        <v>29</v>
      </c>
      <c r="C687" s="128" t="s">
        <v>1772</v>
      </c>
      <c r="D687" s="128" t="s">
        <v>282</v>
      </c>
      <c r="E687" s="127">
        <v>500</v>
      </c>
      <c r="F687" s="127">
        <v>97109898</v>
      </c>
      <c r="G687" s="127" t="s">
        <v>1643</v>
      </c>
      <c r="H687" s="187"/>
      <c r="I687" s="187"/>
      <c r="P687" t="str">
        <f t="shared" si="74"/>
        <v>VOISENON29</v>
      </c>
      <c r="Q687" t="str">
        <f t="shared" si="69"/>
        <v>THOMAS</v>
      </c>
      <c r="R687" t="str">
        <f t="shared" si="70"/>
        <v>Olivier</v>
      </c>
      <c r="S687">
        <f t="shared" si="71"/>
        <v>500</v>
      </c>
      <c r="T687">
        <f t="shared" si="72"/>
        <v>97109898</v>
      </c>
      <c r="U687" t="s">
        <v>1851</v>
      </c>
    </row>
    <row r="688" spans="1:21" hidden="1" x14ac:dyDescent="0.2">
      <c r="A688" s="186" t="s">
        <v>151</v>
      </c>
      <c r="B688" s="128">
        <f t="shared" si="73"/>
        <v>1</v>
      </c>
      <c r="C688" s="128" t="s">
        <v>938</v>
      </c>
      <c r="D688" s="128" t="s">
        <v>877</v>
      </c>
      <c r="E688" s="127">
        <v>500</v>
      </c>
      <c r="F688" s="127">
        <v>97095881</v>
      </c>
      <c r="G688" s="127" t="s">
        <v>1643</v>
      </c>
      <c r="H688" s="187"/>
      <c r="I688" s="187"/>
      <c r="P688" t="str">
        <f t="shared" si="74"/>
        <v>VULAINES1</v>
      </c>
      <c r="Q688" t="str">
        <f t="shared" si="69"/>
        <v>BLANC</v>
      </c>
      <c r="R688" t="str">
        <f t="shared" si="70"/>
        <v>Ladislas</v>
      </c>
      <c r="S688">
        <f t="shared" si="71"/>
        <v>500</v>
      </c>
      <c r="T688">
        <f t="shared" si="72"/>
        <v>97095881</v>
      </c>
      <c r="U688" t="s">
        <v>967</v>
      </c>
    </row>
    <row r="689" spans="1:21" hidden="1" x14ac:dyDescent="0.2">
      <c r="A689" s="186" t="s">
        <v>151</v>
      </c>
      <c r="B689" s="128">
        <f t="shared" si="73"/>
        <v>2</v>
      </c>
      <c r="C689" s="128" t="s">
        <v>638</v>
      </c>
      <c r="D689" s="128" t="s">
        <v>303</v>
      </c>
      <c r="E689" s="127">
        <v>500</v>
      </c>
      <c r="F689" s="127">
        <v>97082049</v>
      </c>
      <c r="G689" s="127" t="s">
        <v>1643</v>
      </c>
      <c r="H689" s="187"/>
      <c r="I689" s="187"/>
      <c r="P689" t="str">
        <f t="shared" si="74"/>
        <v>VULAINES2</v>
      </c>
      <c r="Q689" t="str">
        <f t="shared" si="69"/>
        <v>BONANNI</v>
      </c>
      <c r="R689" t="str">
        <f t="shared" si="70"/>
        <v>Lucas</v>
      </c>
      <c r="S689">
        <f t="shared" si="71"/>
        <v>500</v>
      </c>
      <c r="T689">
        <f t="shared" si="72"/>
        <v>97082049</v>
      </c>
      <c r="U689" t="s">
        <v>647</v>
      </c>
    </row>
    <row r="690" spans="1:21" hidden="1" x14ac:dyDescent="0.2">
      <c r="A690" s="186" t="s">
        <v>151</v>
      </c>
      <c r="B690" s="128">
        <f t="shared" si="73"/>
        <v>3</v>
      </c>
      <c r="C690" s="128" t="s">
        <v>1142</v>
      </c>
      <c r="D690" s="128" t="s">
        <v>1272</v>
      </c>
      <c r="E690" s="127">
        <v>504</v>
      </c>
      <c r="F690" s="127">
        <v>97103651</v>
      </c>
      <c r="G690" s="127" t="s">
        <v>1643</v>
      </c>
      <c r="H690" s="187"/>
      <c r="I690" s="187"/>
      <c r="P690" t="str">
        <f t="shared" si="74"/>
        <v>VULAINES3</v>
      </c>
      <c r="Q690" t="str">
        <f t="shared" si="69"/>
        <v>BOUSSETON</v>
      </c>
      <c r="R690" t="str">
        <f t="shared" si="70"/>
        <v>Nao</v>
      </c>
      <c r="S690">
        <f t="shared" si="71"/>
        <v>504</v>
      </c>
      <c r="T690">
        <f t="shared" si="72"/>
        <v>97103651</v>
      </c>
      <c r="U690" t="s">
        <v>1357</v>
      </c>
    </row>
    <row r="691" spans="1:21" hidden="1" x14ac:dyDescent="0.2">
      <c r="A691" s="186" t="s">
        <v>151</v>
      </c>
      <c r="B691" s="128">
        <f t="shared" si="73"/>
        <v>4</v>
      </c>
      <c r="C691" s="128" t="s">
        <v>1543</v>
      </c>
      <c r="D691" s="128" t="s">
        <v>1288</v>
      </c>
      <c r="E691" s="127">
        <v>500</v>
      </c>
      <c r="F691" s="127">
        <v>97106829</v>
      </c>
      <c r="G691" s="127" t="s">
        <v>1643</v>
      </c>
      <c r="H691" s="187"/>
      <c r="I691" s="187"/>
      <c r="P691" t="str">
        <f t="shared" si="74"/>
        <v>VULAINES4</v>
      </c>
      <c r="Q691" t="str">
        <f t="shared" si="69"/>
        <v>CARDINAL</v>
      </c>
      <c r="R691" t="str">
        <f t="shared" si="70"/>
        <v>Kevin</v>
      </c>
      <c r="S691">
        <f t="shared" si="71"/>
        <v>500</v>
      </c>
      <c r="T691">
        <f t="shared" si="72"/>
        <v>97106829</v>
      </c>
      <c r="U691" t="s">
        <v>1588</v>
      </c>
    </row>
    <row r="692" spans="1:21" hidden="1" x14ac:dyDescent="0.2">
      <c r="A692" s="186" t="s">
        <v>151</v>
      </c>
      <c r="B692" s="128">
        <f t="shared" si="73"/>
        <v>5</v>
      </c>
      <c r="C692" s="128" t="s">
        <v>1144</v>
      </c>
      <c r="D692" s="128" t="s">
        <v>294</v>
      </c>
      <c r="E692" s="127">
        <v>500</v>
      </c>
      <c r="F692" s="127">
        <v>97103650</v>
      </c>
      <c r="G692" s="127" t="s">
        <v>1643</v>
      </c>
      <c r="H692" s="187"/>
      <c r="I692" s="187"/>
      <c r="P692" t="str">
        <f t="shared" si="74"/>
        <v>VULAINES5</v>
      </c>
      <c r="Q692" t="str">
        <f t="shared" si="69"/>
        <v>CHERON</v>
      </c>
      <c r="R692" t="str">
        <f t="shared" si="70"/>
        <v>Frederic</v>
      </c>
      <c r="S692">
        <f t="shared" si="71"/>
        <v>500</v>
      </c>
      <c r="T692">
        <f t="shared" si="72"/>
        <v>97103650</v>
      </c>
      <c r="U692" t="s">
        <v>1359</v>
      </c>
    </row>
    <row r="693" spans="1:21" hidden="1" x14ac:dyDescent="0.2">
      <c r="A693" s="186" t="s">
        <v>151</v>
      </c>
      <c r="B693" s="128">
        <f t="shared" si="73"/>
        <v>6</v>
      </c>
      <c r="C693" s="128" t="s">
        <v>1143</v>
      </c>
      <c r="D693" s="128" t="s">
        <v>1273</v>
      </c>
      <c r="E693" s="127">
        <v>500</v>
      </c>
      <c r="F693" s="127">
        <v>97103653</v>
      </c>
      <c r="G693" s="127" t="s">
        <v>1643</v>
      </c>
      <c r="H693" s="187"/>
      <c r="I693" s="187"/>
      <c r="P693" t="str">
        <f t="shared" si="74"/>
        <v>VULAINES6</v>
      </c>
      <c r="Q693" t="str">
        <f t="shared" si="69"/>
        <v>CHERON GUYOT</v>
      </c>
      <c r="R693" t="str">
        <f t="shared" si="70"/>
        <v>Gaspard</v>
      </c>
      <c r="S693">
        <f t="shared" si="71"/>
        <v>500</v>
      </c>
      <c r="T693">
        <f t="shared" si="72"/>
        <v>97103653</v>
      </c>
      <c r="U693" t="s">
        <v>1358</v>
      </c>
    </row>
    <row r="694" spans="1:21" hidden="1" x14ac:dyDescent="0.2">
      <c r="A694" s="186" t="s">
        <v>151</v>
      </c>
      <c r="B694" s="128">
        <f t="shared" si="73"/>
        <v>7</v>
      </c>
      <c r="C694" s="128" t="s">
        <v>91</v>
      </c>
      <c r="D694" s="128" t="s">
        <v>339</v>
      </c>
      <c r="E694" s="127">
        <v>500</v>
      </c>
      <c r="F694" s="127">
        <v>55312092</v>
      </c>
      <c r="G694" s="127" t="s">
        <v>1643</v>
      </c>
      <c r="H694" s="187"/>
      <c r="I694" s="187"/>
      <c r="P694" t="str">
        <f t="shared" si="74"/>
        <v>VULAINES7</v>
      </c>
      <c r="Q694" t="str">
        <f t="shared" si="69"/>
        <v>DAGORET</v>
      </c>
      <c r="R694" t="str">
        <f t="shared" si="70"/>
        <v>Francis</v>
      </c>
      <c r="S694">
        <f t="shared" si="71"/>
        <v>500</v>
      </c>
      <c r="T694">
        <f t="shared" si="72"/>
        <v>55312092</v>
      </c>
      <c r="U694" t="s">
        <v>565</v>
      </c>
    </row>
    <row r="695" spans="1:21" hidden="1" x14ac:dyDescent="0.2">
      <c r="A695" s="186" t="s">
        <v>151</v>
      </c>
      <c r="B695" s="128">
        <f t="shared" si="73"/>
        <v>8</v>
      </c>
      <c r="C695" s="128" t="s">
        <v>91</v>
      </c>
      <c r="D695" s="128" t="s">
        <v>307</v>
      </c>
      <c r="E695" s="127">
        <v>565</v>
      </c>
      <c r="F695" s="127">
        <v>55317959</v>
      </c>
      <c r="G695" s="127" t="s">
        <v>1643</v>
      </c>
      <c r="H695" s="187"/>
      <c r="I695" s="187"/>
      <c r="P695" t="str">
        <f t="shared" si="74"/>
        <v>VULAINES8</v>
      </c>
      <c r="Q695" t="str">
        <f t="shared" si="69"/>
        <v>DAGORET</v>
      </c>
      <c r="R695" t="str">
        <f t="shared" si="70"/>
        <v>Guillaume</v>
      </c>
      <c r="S695">
        <f t="shared" si="71"/>
        <v>565</v>
      </c>
      <c r="T695">
        <f t="shared" si="72"/>
        <v>55317959</v>
      </c>
      <c r="U695" t="s">
        <v>771</v>
      </c>
    </row>
    <row r="696" spans="1:21" hidden="1" x14ac:dyDescent="0.2">
      <c r="A696" s="186" t="s">
        <v>151</v>
      </c>
      <c r="B696" s="128">
        <f t="shared" si="73"/>
        <v>9</v>
      </c>
      <c r="C696" s="128" t="s">
        <v>1140</v>
      </c>
      <c r="D696" s="128" t="s">
        <v>1271</v>
      </c>
      <c r="E696" s="127">
        <v>500</v>
      </c>
      <c r="F696" s="127">
        <v>97103648</v>
      </c>
      <c r="G696" s="127" t="s">
        <v>1643</v>
      </c>
      <c r="H696" s="187"/>
      <c r="I696" s="187"/>
      <c r="P696" t="str">
        <f t="shared" si="74"/>
        <v>VULAINES9</v>
      </c>
      <c r="Q696" t="str">
        <f t="shared" si="69"/>
        <v>DALAINE</v>
      </c>
      <c r="R696" t="str">
        <f t="shared" si="70"/>
        <v>Arthur</v>
      </c>
      <c r="S696">
        <f t="shared" si="71"/>
        <v>500</v>
      </c>
      <c r="T696">
        <f t="shared" si="72"/>
        <v>97103648</v>
      </c>
      <c r="U696" t="s">
        <v>1355</v>
      </c>
    </row>
    <row r="697" spans="1:21" hidden="1" x14ac:dyDescent="0.2">
      <c r="A697" s="186" t="s">
        <v>151</v>
      </c>
      <c r="B697" s="128">
        <f t="shared" si="73"/>
        <v>10</v>
      </c>
      <c r="C697" s="128" t="s">
        <v>1147</v>
      </c>
      <c r="D697" s="128" t="s">
        <v>1275</v>
      </c>
      <c r="E697" s="127">
        <v>500</v>
      </c>
      <c r="F697" s="127">
        <v>97103667</v>
      </c>
      <c r="G697" s="127" t="s">
        <v>1643</v>
      </c>
      <c r="H697" s="187"/>
      <c r="I697" s="187"/>
      <c r="P697" t="str">
        <f t="shared" si="74"/>
        <v>VULAINES10</v>
      </c>
      <c r="Q697" t="str">
        <f t="shared" si="69"/>
        <v>FEUILLETIN</v>
      </c>
      <c r="R697" t="str">
        <f t="shared" si="70"/>
        <v>Elouen</v>
      </c>
      <c r="S697">
        <f t="shared" si="71"/>
        <v>500</v>
      </c>
      <c r="T697">
        <f t="shared" si="72"/>
        <v>97103667</v>
      </c>
      <c r="U697" t="s">
        <v>1363</v>
      </c>
    </row>
    <row r="698" spans="1:21" hidden="1" x14ac:dyDescent="0.2">
      <c r="A698" s="186" t="s">
        <v>151</v>
      </c>
      <c r="B698" s="128">
        <f t="shared" si="73"/>
        <v>11</v>
      </c>
      <c r="C698" s="128" t="s">
        <v>738</v>
      </c>
      <c r="D698" s="128" t="s">
        <v>767</v>
      </c>
      <c r="E698" s="127">
        <v>500</v>
      </c>
      <c r="F698" s="127">
        <v>97071963</v>
      </c>
      <c r="G698" s="127" t="s">
        <v>1643</v>
      </c>
      <c r="H698" s="187"/>
      <c r="I698" s="187"/>
      <c r="P698" t="str">
        <f t="shared" si="74"/>
        <v>VULAINES11</v>
      </c>
      <c r="Q698" t="str">
        <f t="shared" si="69"/>
        <v>FOLLI</v>
      </c>
      <c r="R698" t="str">
        <f t="shared" si="70"/>
        <v>Léonie</v>
      </c>
      <c r="S698">
        <f t="shared" si="71"/>
        <v>500</v>
      </c>
      <c r="T698">
        <f t="shared" si="72"/>
        <v>97071963</v>
      </c>
      <c r="U698" t="s">
        <v>814</v>
      </c>
    </row>
    <row r="699" spans="1:21" hidden="1" x14ac:dyDescent="0.2">
      <c r="A699" s="186" t="s">
        <v>151</v>
      </c>
      <c r="B699" s="128">
        <f t="shared" si="73"/>
        <v>12</v>
      </c>
      <c r="C699" s="128" t="s">
        <v>739</v>
      </c>
      <c r="D699" s="128" t="s">
        <v>364</v>
      </c>
      <c r="E699" s="127">
        <v>500</v>
      </c>
      <c r="F699" s="127">
        <v>97087199</v>
      </c>
      <c r="G699" s="127" t="s">
        <v>1643</v>
      </c>
      <c r="H699" s="187"/>
      <c r="I699" s="187"/>
      <c r="P699" t="str">
        <f t="shared" si="74"/>
        <v>VULAINES12</v>
      </c>
      <c r="Q699" t="str">
        <f t="shared" si="69"/>
        <v>GRES</v>
      </c>
      <c r="R699" t="str">
        <f t="shared" si="70"/>
        <v>Gabriel</v>
      </c>
      <c r="S699">
        <f t="shared" si="71"/>
        <v>500</v>
      </c>
      <c r="T699">
        <f t="shared" si="72"/>
        <v>97087199</v>
      </c>
      <c r="U699" t="s">
        <v>772</v>
      </c>
    </row>
    <row r="700" spans="1:21" hidden="1" x14ac:dyDescent="0.2">
      <c r="A700" s="186" t="s">
        <v>151</v>
      </c>
      <c r="B700" s="128">
        <f t="shared" si="73"/>
        <v>13</v>
      </c>
      <c r="C700" s="128" t="s">
        <v>1145</v>
      </c>
      <c r="D700" s="128" t="s">
        <v>1274</v>
      </c>
      <c r="E700" s="127">
        <v>500</v>
      </c>
      <c r="F700" s="127">
        <v>97103649</v>
      </c>
      <c r="G700" s="127" t="s">
        <v>1643</v>
      </c>
      <c r="H700" s="187"/>
      <c r="I700" s="187"/>
      <c r="P700" t="str">
        <f t="shared" si="74"/>
        <v>VULAINES13</v>
      </c>
      <c r="Q700" t="str">
        <f t="shared" si="69"/>
        <v>HEISBOURG CATHERINE</v>
      </c>
      <c r="R700" t="str">
        <f t="shared" si="70"/>
        <v>Elliot</v>
      </c>
      <c r="S700">
        <f t="shared" si="71"/>
        <v>500</v>
      </c>
      <c r="T700">
        <f t="shared" si="72"/>
        <v>97103649</v>
      </c>
      <c r="U700" t="s">
        <v>1360</v>
      </c>
    </row>
    <row r="701" spans="1:21" hidden="1" x14ac:dyDescent="0.2">
      <c r="A701" s="186" t="s">
        <v>151</v>
      </c>
      <c r="B701" s="128">
        <f t="shared" si="73"/>
        <v>14</v>
      </c>
      <c r="C701" s="128" t="s">
        <v>937</v>
      </c>
      <c r="D701" s="128" t="s">
        <v>575</v>
      </c>
      <c r="E701" s="127">
        <v>508</v>
      </c>
      <c r="F701" s="127">
        <v>97095897</v>
      </c>
      <c r="G701" s="127" t="s">
        <v>1643</v>
      </c>
      <c r="H701" s="187"/>
      <c r="I701" s="187"/>
      <c r="P701" t="str">
        <f t="shared" si="74"/>
        <v>VULAINES14</v>
      </c>
      <c r="Q701" t="str">
        <f t="shared" si="69"/>
        <v>HERBOUX</v>
      </c>
      <c r="R701" t="str">
        <f t="shared" si="70"/>
        <v>Louis</v>
      </c>
      <c r="S701">
        <f t="shared" si="71"/>
        <v>508</v>
      </c>
      <c r="T701">
        <f t="shared" si="72"/>
        <v>97095897</v>
      </c>
      <c r="U701" t="s">
        <v>966</v>
      </c>
    </row>
    <row r="702" spans="1:21" hidden="1" x14ac:dyDescent="0.2">
      <c r="A702" s="186" t="s">
        <v>151</v>
      </c>
      <c r="B702" s="128">
        <f t="shared" si="73"/>
        <v>15</v>
      </c>
      <c r="C702" s="128" t="s">
        <v>1141</v>
      </c>
      <c r="D702" s="128" t="s">
        <v>304</v>
      </c>
      <c r="E702" s="127">
        <v>500</v>
      </c>
      <c r="F702" s="127">
        <v>97103652</v>
      </c>
      <c r="G702" s="127" t="s">
        <v>1643</v>
      </c>
      <c r="H702" s="187"/>
      <c r="I702" s="187"/>
      <c r="P702" t="str">
        <f t="shared" si="74"/>
        <v>VULAINES15</v>
      </c>
      <c r="Q702" t="str">
        <f t="shared" si="69"/>
        <v>LECHAT</v>
      </c>
      <c r="R702" t="str">
        <f t="shared" si="70"/>
        <v>Jerome</v>
      </c>
      <c r="S702">
        <f t="shared" si="71"/>
        <v>500</v>
      </c>
      <c r="T702">
        <f t="shared" si="72"/>
        <v>97103652</v>
      </c>
      <c r="U702" t="s">
        <v>1356</v>
      </c>
    </row>
    <row r="703" spans="1:21" hidden="1" x14ac:dyDescent="0.2">
      <c r="A703" s="186" t="s">
        <v>151</v>
      </c>
      <c r="B703" s="128">
        <f t="shared" si="73"/>
        <v>16</v>
      </c>
      <c r="C703" s="128" t="s">
        <v>637</v>
      </c>
      <c r="D703" s="128" t="s">
        <v>863</v>
      </c>
      <c r="E703" s="127">
        <v>500</v>
      </c>
      <c r="F703" s="127">
        <v>97103654</v>
      </c>
      <c r="G703" s="127" t="s">
        <v>1643</v>
      </c>
      <c r="H703" s="187"/>
      <c r="I703" s="187"/>
      <c r="P703" t="str">
        <f t="shared" si="74"/>
        <v>VULAINES16</v>
      </c>
      <c r="Q703" t="str">
        <f t="shared" si="69"/>
        <v>MARTIN</v>
      </c>
      <c r="R703" t="str">
        <f t="shared" si="70"/>
        <v>Elliott</v>
      </c>
      <c r="S703">
        <f t="shared" si="71"/>
        <v>500</v>
      </c>
      <c r="T703">
        <f t="shared" si="72"/>
        <v>97103654</v>
      </c>
      <c r="U703" t="s">
        <v>1361</v>
      </c>
    </row>
    <row r="704" spans="1:21" hidden="1" x14ac:dyDescent="0.2">
      <c r="A704" s="186" t="s">
        <v>151</v>
      </c>
      <c r="B704" s="128">
        <f t="shared" si="73"/>
        <v>17</v>
      </c>
      <c r="C704" s="128" t="s">
        <v>637</v>
      </c>
      <c r="D704" s="128" t="s">
        <v>950</v>
      </c>
      <c r="E704" s="127">
        <v>500</v>
      </c>
      <c r="F704" s="127">
        <v>97095884</v>
      </c>
      <c r="G704" s="127" t="s">
        <v>1643</v>
      </c>
      <c r="H704" s="187"/>
      <c r="I704" s="187"/>
      <c r="P704" t="str">
        <f t="shared" si="74"/>
        <v>VULAINES17</v>
      </c>
      <c r="Q704" t="str">
        <f t="shared" si="69"/>
        <v>MARTIN</v>
      </c>
      <c r="R704" t="str">
        <f t="shared" si="70"/>
        <v>Raphaël</v>
      </c>
      <c r="S704">
        <f t="shared" si="71"/>
        <v>500</v>
      </c>
      <c r="T704">
        <f t="shared" si="72"/>
        <v>97095884</v>
      </c>
      <c r="U704" t="s">
        <v>969</v>
      </c>
    </row>
    <row r="705" spans="1:21" hidden="1" x14ac:dyDescent="0.2">
      <c r="A705" s="186" t="s">
        <v>151</v>
      </c>
      <c r="B705" s="128">
        <f t="shared" si="73"/>
        <v>18</v>
      </c>
      <c r="C705" s="128" t="s">
        <v>740</v>
      </c>
      <c r="D705" s="128" t="s">
        <v>756</v>
      </c>
      <c r="E705" s="127">
        <v>500</v>
      </c>
      <c r="F705" s="127">
        <v>97073670</v>
      </c>
      <c r="G705" s="127" t="s">
        <v>1643</v>
      </c>
      <c r="H705" s="187"/>
      <c r="I705" s="187"/>
      <c r="P705" t="str">
        <f t="shared" si="74"/>
        <v>VULAINES18</v>
      </c>
      <c r="Q705" t="str">
        <f t="shared" si="69"/>
        <v>MATHE</v>
      </c>
      <c r="R705" t="str">
        <f t="shared" si="70"/>
        <v>Ulysse</v>
      </c>
      <c r="S705">
        <f t="shared" si="71"/>
        <v>500</v>
      </c>
      <c r="T705">
        <f t="shared" si="72"/>
        <v>97073670</v>
      </c>
      <c r="U705" t="s">
        <v>773</v>
      </c>
    </row>
    <row r="706" spans="1:21" hidden="1" x14ac:dyDescent="0.2">
      <c r="A706" s="186" t="s">
        <v>151</v>
      </c>
      <c r="B706" s="128">
        <f t="shared" si="73"/>
        <v>19</v>
      </c>
      <c r="C706" s="128" t="s">
        <v>1625</v>
      </c>
      <c r="D706" s="128" t="s">
        <v>1637</v>
      </c>
      <c r="E706" s="127">
        <v>500</v>
      </c>
      <c r="F706" s="127">
        <v>97099039</v>
      </c>
      <c r="G706" s="127" t="s">
        <v>1643</v>
      </c>
      <c r="H706" s="187"/>
      <c r="I706" s="187"/>
      <c r="P706" t="str">
        <f t="shared" si="74"/>
        <v>VULAINES19</v>
      </c>
      <c r="Q706" t="str">
        <f t="shared" si="69"/>
        <v>NGUYEN</v>
      </c>
      <c r="R706" t="str">
        <f t="shared" si="70"/>
        <v>Eliott</v>
      </c>
      <c r="S706">
        <f t="shared" si="71"/>
        <v>500</v>
      </c>
      <c r="T706">
        <f t="shared" si="72"/>
        <v>97099039</v>
      </c>
      <c r="U706" t="s">
        <v>1645</v>
      </c>
    </row>
    <row r="707" spans="1:21" hidden="1" x14ac:dyDescent="0.2">
      <c r="A707" s="186" t="s">
        <v>151</v>
      </c>
      <c r="B707" s="128">
        <f t="shared" si="73"/>
        <v>20</v>
      </c>
      <c r="C707" s="128" t="s">
        <v>940</v>
      </c>
      <c r="D707" s="128" t="s">
        <v>952</v>
      </c>
      <c r="E707" s="127">
        <v>500</v>
      </c>
      <c r="F707" s="127">
        <v>97095886</v>
      </c>
      <c r="G707" s="127" t="s">
        <v>1643</v>
      </c>
      <c r="H707" s="187"/>
      <c r="I707" s="187"/>
      <c r="P707" t="str">
        <f t="shared" si="74"/>
        <v>VULAINES20</v>
      </c>
      <c r="Q707" t="str">
        <f t="shared" si="69"/>
        <v>PETIT</v>
      </c>
      <c r="R707" t="str">
        <f t="shared" si="70"/>
        <v>Amaury</v>
      </c>
      <c r="S707">
        <f t="shared" si="71"/>
        <v>500</v>
      </c>
      <c r="T707">
        <f t="shared" si="72"/>
        <v>97095886</v>
      </c>
      <c r="U707" t="s">
        <v>970</v>
      </c>
    </row>
    <row r="708" spans="1:21" hidden="1" x14ac:dyDescent="0.2">
      <c r="A708" s="186" t="s">
        <v>151</v>
      </c>
      <c r="B708" s="128">
        <f t="shared" si="73"/>
        <v>21</v>
      </c>
      <c r="C708" s="128" t="s">
        <v>611</v>
      </c>
      <c r="D708" s="128" t="s">
        <v>614</v>
      </c>
      <c r="E708" s="127">
        <v>500</v>
      </c>
      <c r="F708" s="127">
        <v>97066345</v>
      </c>
      <c r="G708" s="127" t="s">
        <v>1643</v>
      </c>
      <c r="H708" s="187"/>
      <c r="I708" s="187"/>
      <c r="P708" t="str">
        <f t="shared" si="74"/>
        <v>VULAINES21</v>
      </c>
      <c r="Q708" t="str">
        <f t="shared" si="69"/>
        <v>POULIQUEN</v>
      </c>
      <c r="R708" t="str">
        <f t="shared" si="70"/>
        <v>Elise</v>
      </c>
      <c r="S708">
        <f t="shared" si="71"/>
        <v>500</v>
      </c>
      <c r="T708">
        <f t="shared" si="72"/>
        <v>97066345</v>
      </c>
      <c r="U708" t="s">
        <v>619</v>
      </c>
    </row>
    <row r="709" spans="1:21" hidden="1" x14ac:dyDescent="0.2">
      <c r="A709" s="186" t="s">
        <v>151</v>
      </c>
      <c r="B709" s="128">
        <f t="shared" si="73"/>
        <v>22</v>
      </c>
      <c r="C709" s="128" t="s">
        <v>611</v>
      </c>
      <c r="D709" s="128" t="s">
        <v>320</v>
      </c>
      <c r="E709" s="127">
        <v>500</v>
      </c>
      <c r="F709" s="127">
        <v>97079692</v>
      </c>
      <c r="G709" s="127" t="s">
        <v>1643</v>
      </c>
      <c r="H709" s="187"/>
      <c r="I709" s="187"/>
      <c r="P709" t="str">
        <f t="shared" si="74"/>
        <v>VULAINES22</v>
      </c>
      <c r="Q709" t="str">
        <f t="shared" si="69"/>
        <v>POULIQUEN</v>
      </c>
      <c r="R709" t="str">
        <f t="shared" si="70"/>
        <v>Mathieu</v>
      </c>
      <c r="S709">
        <f t="shared" si="71"/>
        <v>500</v>
      </c>
      <c r="T709">
        <f t="shared" si="72"/>
        <v>97079692</v>
      </c>
      <c r="U709" t="s">
        <v>620</v>
      </c>
    </row>
    <row r="710" spans="1:21" hidden="1" x14ac:dyDescent="0.2">
      <c r="A710" s="186" t="s">
        <v>151</v>
      </c>
      <c r="B710" s="128">
        <f t="shared" si="73"/>
        <v>23</v>
      </c>
      <c r="C710" s="128" t="s">
        <v>120</v>
      </c>
      <c r="D710" s="128" t="s">
        <v>353</v>
      </c>
      <c r="E710" s="127">
        <v>500</v>
      </c>
      <c r="F710" s="127">
        <v>97066632</v>
      </c>
      <c r="G710" s="127" t="s">
        <v>1643</v>
      </c>
      <c r="H710" s="187"/>
      <c r="I710" s="187"/>
      <c r="P710" t="str">
        <f t="shared" si="74"/>
        <v>VULAINES23</v>
      </c>
      <c r="Q710" t="str">
        <f t="shared" si="69"/>
        <v>RODRIGUES</v>
      </c>
      <c r="R710" t="str">
        <f t="shared" si="70"/>
        <v>Tristan</v>
      </c>
      <c r="S710">
        <f t="shared" si="71"/>
        <v>500</v>
      </c>
      <c r="T710">
        <f t="shared" si="72"/>
        <v>97066632</v>
      </c>
      <c r="U710" t="s">
        <v>987</v>
      </c>
    </row>
    <row r="711" spans="1:21" hidden="1" x14ac:dyDescent="0.2">
      <c r="A711" s="186" t="s">
        <v>151</v>
      </c>
      <c r="B711" s="128">
        <f t="shared" si="73"/>
        <v>24</v>
      </c>
      <c r="C711" s="128" t="s">
        <v>1544</v>
      </c>
      <c r="D711" s="128" t="s">
        <v>328</v>
      </c>
      <c r="E711" s="127">
        <v>500</v>
      </c>
      <c r="F711" s="127">
        <v>97107571</v>
      </c>
      <c r="G711" s="127" t="s">
        <v>1643</v>
      </c>
      <c r="H711" s="187"/>
      <c r="I711" s="187"/>
      <c r="P711" t="str">
        <f t="shared" si="74"/>
        <v>VULAINES24</v>
      </c>
      <c r="Q711" t="str">
        <f t="shared" si="69"/>
        <v>SEGURA</v>
      </c>
      <c r="R711" t="str">
        <f t="shared" si="70"/>
        <v>Xavier</v>
      </c>
      <c r="S711">
        <f t="shared" si="71"/>
        <v>500</v>
      </c>
      <c r="T711">
        <f t="shared" si="72"/>
        <v>97107571</v>
      </c>
      <c r="U711" t="s">
        <v>1589</v>
      </c>
    </row>
    <row r="712" spans="1:21" hidden="1" x14ac:dyDescent="0.2">
      <c r="A712" s="186" t="s">
        <v>151</v>
      </c>
      <c r="B712" s="128">
        <f t="shared" si="73"/>
        <v>25</v>
      </c>
      <c r="C712" s="128" t="s">
        <v>1146</v>
      </c>
      <c r="D712" s="128" t="s">
        <v>306</v>
      </c>
      <c r="E712" s="127">
        <v>500</v>
      </c>
      <c r="F712" s="127">
        <v>97103655</v>
      </c>
      <c r="G712" s="127" t="s">
        <v>1643</v>
      </c>
      <c r="H712" s="187"/>
      <c r="I712" s="187"/>
      <c r="P712" t="str">
        <f t="shared" si="74"/>
        <v>VULAINES25</v>
      </c>
      <c r="Q712" t="str">
        <f t="shared" si="69"/>
        <v>SOUSA</v>
      </c>
      <c r="R712" t="str">
        <f t="shared" si="70"/>
        <v>Valentin</v>
      </c>
      <c r="S712">
        <f t="shared" si="71"/>
        <v>500</v>
      </c>
      <c r="T712">
        <f t="shared" si="72"/>
        <v>97103655</v>
      </c>
      <c r="U712" t="s">
        <v>1362</v>
      </c>
    </row>
    <row r="713" spans="1:21" hidden="1" x14ac:dyDescent="0.2">
      <c r="A713" s="186" t="s">
        <v>151</v>
      </c>
      <c r="B713" s="128">
        <f t="shared" si="73"/>
        <v>26</v>
      </c>
      <c r="C713" s="128" t="s">
        <v>741</v>
      </c>
      <c r="D713" s="128" t="s">
        <v>572</v>
      </c>
      <c r="E713" s="127">
        <v>500</v>
      </c>
      <c r="F713" s="127">
        <v>97087201</v>
      </c>
      <c r="G713" s="127" t="s">
        <v>1134</v>
      </c>
      <c r="H713" s="187"/>
      <c r="I713" s="187"/>
      <c r="P713" t="str">
        <f t="shared" si="74"/>
        <v>VULAINES26</v>
      </c>
      <c r="Q713" t="str">
        <f t="shared" si="69"/>
        <v>THIBAUT</v>
      </c>
      <c r="R713" t="str">
        <f t="shared" si="70"/>
        <v>Trystan</v>
      </c>
      <c r="S713">
        <f t="shared" si="71"/>
        <v>500</v>
      </c>
      <c r="T713">
        <f t="shared" si="72"/>
        <v>97087201</v>
      </c>
      <c r="U713" t="s">
        <v>774</v>
      </c>
    </row>
    <row r="714" spans="1:21" hidden="1" x14ac:dyDescent="0.2">
      <c r="D714" t="s">
        <v>225</v>
      </c>
      <c r="H714" s="187"/>
      <c r="P714" t="str">
        <f t="shared" si="74"/>
        <v/>
      </c>
      <c r="Q714">
        <f t="shared" ref="Q714:Q748" si="75">C714</f>
        <v>0</v>
      </c>
      <c r="R714" t="str">
        <f t="shared" ref="R714:R748" si="76">D714</f>
        <v/>
      </c>
      <c r="S714">
        <f t="shared" ref="S714:S748" si="77">E714</f>
        <v>0</v>
      </c>
      <c r="T714">
        <f t="shared" ref="T714:T748" si="78">F714</f>
        <v>0</v>
      </c>
    </row>
    <row r="715" spans="1:21" hidden="1" x14ac:dyDescent="0.2">
      <c r="D715" t="s">
        <v>225</v>
      </c>
      <c r="H715" s="187"/>
      <c r="P715" t="str">
        <f t="shared" si="74"/>
        <v/>
      </c>
      <c r="Q715">
        <f t="shared" si="75"/>
        <v>0</v>
      </c>
      <c r="R715" t="str">
        <f t="shared" si="76"/>
        <v/>
      </c>
      <c r="S715">
        <f t="shared" si="77"/>
        <v>0</v>
      </c>
      <c r="T715">
        <f t="shared" si="78"/>
        <v>0</v>
      </c>
    </row>
    <row r="716" spans="1:21" hidden="1" x14ac:dyDescent="0.2">
      <c r="D716" t="s">
        <v>225</v>
      </c>
      <c r="H716" s="187"/>
      <c r="P716" t="str">
        <f t="shared" si="74"/>
        <v/>
      </c>
      <c r="Q716">
        <f t="shared" si="75"/>
        <v>0</v>
      </c>
      <c r="R716" t="str">
        <f t="shared" si="76"/>
        <v/>
      </c>
      <c r="S716">
        <f t="shared" si="77"/>
        <v>0</v>
      </c>
      <c r="T716">
        <f t="shared" si="78"/>
        <v>0</v>
      </c>
    </row>
    <row r="717" spans="1:21" hidden="1" x14ac:dyDescent="0.2">
      <c r="D717" t="s">
        <v>225</v>
      </c>
      <c r="H717" s="187"/>
      <c r="P717" t="str">
        <f t="shared" si="74"/>
        <v/>
      </c>
      <c r="Q717">
        <f t="shared" si="75"/>
        <v>0</v>
      </c>
      <c r="R717" t="str">
        <f t="shared" si="76"/>
        <v/>
      </c>
      <c r="S717">
        <f t="shared" si="77"/>
        <v>0</v>
      </c>
      <c r="T717">
        <f t="shared" si="78"/>
        <v>0</v>
      </c>
    </row>
    <row r="718" spans="1:21" hidden="1" x14ac:dyDescent="0.2">
      <c r="D718" t="s">
        <v>225</v>
      </c>
      <c r="H718" s="187"/>
      <c r="P718" t="str">
        <f t="shared" si="74"/>
        <v/>
      </c>
      <c r="Q718">
        <f t="shared" si="75"/>
        <v>0</v>
      </c>
      <c r="R718" t="str">
        <f t="shared" si="76"/>
        <v/>
      </c>
      <c r="S718">
        <f t="shared" si="77"/>
        <v>0</v>
      </c>
      <c r="T718">
        <f t="shared" si="78"/>
        <v>0</v>
      </c>
    </row>
    <row r="719" spans="1:21" hidden="1" x14ac:dyDescent="0.2">
      <c r="D719" t="s">
        <v>225</v>
      </c>
      <c r="H719" s="187"/>
      <c r="P719" t="str">
        <f t="shared" si="74"/>
        <v/>
      </c>
      <c r="Q719">
        <f t="shared" si="75"/>
        <v>0</v>
      </c>
      <c r="R719" t="str">
        <f t="shared" si="76"/>
        <v/>
      </c>
      <c r="S719">
        <f t="shared" si="77"/>
        <v>0</v>
      </c>
      <c r="T719">
        <f t="shared" si="78"/>
        <v>0</v>
      </c>
    </row>
    <row r="720" spans="1:21" hidden="1" x14ac:dyDescent="0.2">
      <c r="A720" s="10" t="s">
        <v>141</v>
      </c>
      <c r="B720">
        <v>0</v>
      </c>
      <c r="C720" t="s">
        <v>229</v>
      </c>
      <c r="D720" t="s">
        <v>230</v>
      </c>
      <c r="E720">
        <v>0</v>
      </c>
      <c r="F720">
        <v>0</v>
      </c>
      <c r="H720" s="187"/>
      <c r="P720" t="str">
        <f t="shared" si="74"/>
        <v>BUSSY0</v>
      </c>
      <c r="Q720" t="str">
        <f t="shared" si="75"/>
        <v>Forfait</v>
      </c>
      <c r="R720" t="str">
        <f t="shared" si="76"/>
        <v>W.O.</v>
      </c>
      <c r="S720">
        <f t="shared" si="77"/>
        <v>0</v>
      </c>
      <c r="T720">
        <f t="shared" si="78"/>
        <v>0</v>
      </c>
      <c r="U720" t="s">
        <v>510</v>
      </c>
    </row>
    <row r="721" spans="1:21" hidden="1" x14ac:dyDescent="0.2">
      <c r="A721" s="10" t="s">
        <v>142</v>
      </c>
      <c r="B721">
        <v>0</v>
      </c>
      <c r="C721" t="s">
        <v>229</v>
      </c>
      <c r="D721" t="s">
        <v>230</v>
      </c>
      <c r="E721">
        <v>0</v>
      </c>
      <c r="F721">
        <v>0</v>
      </c>
      <c r="H721" s="187"/>
      <c r="P721" t="str">
        <f t="shared" si="74"/>
        <v>CHAINTREAUX0</v>
      </c>
      <c r="Q721" t="str">
        <f t="shared" si="75"/>
        <v>Forfait</v>
      </c>
      <c r="R721" t="str">
        <f t="shared" si="76"/>
        <v>W.O.</v>
      </c>
      <c r="S721">
        <f t="shared" si="77"/>
        <v>0</v>
      </c>
      <c r="T721">
        <f t="shared" si="78"/>
        <v>0</v>
      </c>
      <c r="U721" t="s">
        <v>510</v>
      </c>
    </row>
    <row r="722" spans="1:21" hidden="1" x14ac:dyDescent="0.2">
      <c r="A722" s="10" t="s">
        <v>131</v>
      </c>
      <c r="B722">
        <v>0</v>
      </c>
      <c r="C722" t="s">
        <v>229</v>
      </c>
      <c r="D722" t="s">
        <v>230</v>
      </c>
      <c r="E722">
        <v>0</v>
      </c>
      <c r="F722">
        <v>0</v>
      </c>
      <c r="H722" s="187"/>
      <c r="P722" t="str">
        <f t="shared" si="74"/>
        <v>CHAMBRY0</v>
      </c>
      <c r="Q722" t="str">
        <f t="shared" si="75"/>
        <v>Forfait</v>
      </c>
      <c r="R722" t="str">
        <f t="shared" si="76"/>
        <v>W.O.</v>
      </c>
      <c r="S722">
        <f t="shared" si="77"/>
        <v>0</v>
      </c>
      <c r="T722">
        <f t="shared" si="78"/>
        <v>0</v>
      </c>
      <c r="U722" t="s">
        <v>510</v>
      </c>
    </row>
    <row r="723" spans="1:21" hidden="1" x14ac:dyDescent="0.2">
      <c r="A723" s="10" t="s">
        <v>143</v>
      </c>
      <c r="B723">
        <v>0</v>
      </c>
      <c r="C723" t="s">
        <v>229</v>
      </c>
      <c r="D723" t="s">
        <v>230</v>
      </c>
      <c r="E723">
        <v>0</v>
      </c>
      <c r="F723">
        <v>0</v>
      </c>
      <c r="H723" s="187"/>
      <c r="P723" t="str">
        <f t="shared" si="74"/>
        <v>COUBERT0</v>
      </c>
      <c r="Q723" t="str">
        <f t="shared" si="75"/>
        <v>Forfait</v>
      </c>
      <c r="R723" t="str">
        <f t="shared" si="76"/>
        <v>W.O.</v>
      </c>
      <c r="S723">
        <f t="shared" si="77"/>
        <v>0</v>
      </c>
      <c r="T723">
        <f t="shared" si="78"/>
        <v>0</v>
      </c>
      <c r="U723" t="s">
        <v>510</v>
      </c>
    </row>
    <row r="724" spans="1:21" hidden="1" x14ac:dyDescent="0.2">
      <c r="A724" s="10" t="s">
        <v>128</v>
      </c>
      <c r="B724">
        <v>0</v>
      </c>
      <c r="C724" t="s">
        <v>229</v>
      </c>
      <c r="D724" t="s">
        <v>230</v>
      </c>
      <c r="E724">
        <v>0</v>
      </c>
      <c r="F724">
        <v>0</v>
      </c>
      <c r="H724" s="187"/>
      <c r="P724" t="str">
        <f t="shared" si="74"/>
        <v>COULOMMIERS0</v>
      </c>
      <c r="Q724" t="str">
        <f t="shared" si="75"/>
        <v>Forfait</v>
      </c>
      <c r="R724" t="str">
        <f t="shared" si="76"/>
        <v>W.O.</v>
      </c>
      <c r="S724">
        <f t="shared" si="77"/>
        <v>0</v>
      </c>
      <c r="T724">
        <f t="shared" si="78"/>
        <v>0</v>
      </c>
      <c r="U724" t="s">
        <v>510</v>
      </c>
    </row>
    <row r="725" spans="1:21" hidden="1" x14ac:dyDescent="0.2">
      <c r="A725" s="10" t="s">
        <v>132</v>
      </c>
      <c r="B725">
        <v>0</v>
      </c>
      <c r="C725" t="s">
        <v>229</v>
      </c>
      <c r="D725" t="s">
        <v>230</v>
      </c>
      <c r="E725">
        <v>0</v>
      </c>
      <c r="F725">
        <v>0</v>
      </c>
      <c r="H725" s="187"/>
      <c r="P725" t="str">
        <f t="shared" si="74"/>
        <v>COURTOMER0</v>
      </c>
      <c r="Q725" t="str">
        <f t="shared" si="75"/>
        <v>Forfait</v>
      </c>
      <c r="R725" t="str">
        <f t="shared" si="76"/>
        <v>W.O.</v>
      </c>
      <c r="S725">
        <f t="shared" si="77"/>
        <v>0</v>
      </c>
      <c r="T725">
        <f t="shared" si="78"/>
        <v>0</v>
      </c>
      <c r="U725" t="s">
        <v>510</v>
      </c>
    </row>
    <row r="726" spans="1:21" hidden="1" x14ac:dyDescent="0.2">
      <c r="A726" s="10" t="s">
        <v>133</v>
      </c>
      <c r="B726">
        <v>0</v>
      </c>
      <c r="C726" t="s">
        <v>229</v>
      </c>
      <c r="D726" t="s">
        <v>230</v>
      </c>
      <c r="E726">
        <v>0</v>
      </c>
      <c r="F726">
        <v>0</v>
      </c>
      <c r="H726" s="187"/>
      <c r="P726" t="str">
        <f t="shared" si="74"/>
        <v>FAVIERES0</v>
      </c>
      <c r="Q726" t="str">
        <f t="shared" si="75"/>
        <v>Forfait</v>
      </c>
      <c r="R726" t="str">
        <f t="shared" si="76"/>
        <v>W.O.</v>
      </c>
      <c r="S726">
        <f t="shared" si="77"/>
        <v>0</v>
      </c>
      <c r="T726">
        <f t="shared" si="78"/>
        <v>0</v>
      </c>
      <c r="U726" t="s">
        <v>510</v>
      </c>
    </row>
    <row r="727" spans="1:21" hidden="1" x14ac:dyDescent="0.2">
      <c r="A727" s="10" t="s">
        <v>144</v>
      </c>
      <c r="B727">
        <v>0</v>
      </c>
      <c r="C727" t="s">
        <v>229</v>
      </c>
      <c r="D727" t="s">
        <v>230</v>
      </c>
      <c r="E727">
        <v>0</v>
      </c>
      <c r="F727">
        <v>0</v>
      </c>
      <c r="H727" s="187"/>
      <c r="P727" t="str">
        <f t="shared" si="74"/>
        <v>FERRIERES0</v>
      </c>
      <c r="Q727" t="str">
        <f t="shared" si="75"/>
        <v>Forfait</v>
      </c>
      <c r="R727" t="str">
        <f t="shared" si="76"/>
        <v>W.O.</v>
      </c>
      <c r="S727">
        <f t="shared" si="77"/>
        <v>0</v>
      </c>
      <c r="T727">
        <f t="shared" si="78"/>
        <v>0</v>
      </c>
      <c r="U727" t="s">
        <v>510</v>
      </c>
    </row>
    <row r="728" spans="1:21" hidden="1" x14ac:dyDescent="0.2">
      <c r="A728" s="10" t="s">
        <v>145</v>
      </c>
      <c r="B728">
        <v>0</v>
      </c>
      <c r="C728" t="s">
        <v>229</v>
      </c>
      <c r="D728" t="s">
        <v>230</v>
      </c>
      <c r="E728">
        <v>0</v>
      </c>
      <c r="F728">
        <v>0</v>
      </c>
      <c r="H728" s="187"/>
      <c r="P728" t="str">
        <f t="shared" si="74"/>
        <v>GRETZ0</v>
      </c>
      <c r="Q728" t="str">
        <f t="shared" si="75"/>
        <v>Forfait</v>
      </c>
      <c r="R728" t="str">
        <f t="shared" si="76"/>
        <v>W.O.</v>
      </c>
      <c r="S728">
        <f t="shared" si="77"/>
        <v>0</v>
      </c>
      <c r="T728">
        <f t="shared" si="78"/>
        <v>0</v>
      </c>
      <c r="U728" t="s">
        <v>510</v>
      </c>
    </row>
    <row r="729" spans="1:21" hidden="1" x14ac:dyDescent="0.2">
      <c r="A729" s="10" t="s">
        <v>146</v>
      </c>
      <c r="B729">
        <v>0</v>
      </c>
      <c r="C729" t="s">
        <v>229</v>
      </c>
      <c r="D729" t="s">
        <v>230</v>
      </c>
      <c r="E729">
        <v>0</v>
      </c>
      <c r="F729">
        <v>0</v>
      </c>
      <c r="H729" s="187"/>
      <c r="P729" t="str">
        <f t="shared" si="74"/>
        <v>MAROLLES0</v>
      </c>
      <c r="Q729" t="str">
        <f t="shared" si="75"/>
        <v>Forfait</v>
      </c>
      <c r="R729" t="str">
        <f t="shared" si="76"/>
        <v>W.O.</v>
      </c>
      <c r="S729">
        <f t="shared" si="77"/>
        <v>0</v>
      </c>
      <c r="T729">
        <f t="shared" si="78"/>
        <v>0</v>
      </c>
      <c r="U729" t="s">
        <v>510</v>
      </c>
    </row>
    <row r="730" spans="1:21" hidden="1" x14ac:dyDescent="0.2">
      <c r="A730" s="10" t="s">
        <v>134</v>
      </c>
      <c r="B730">
        <v>0</v>
      </c>
      <c r="C730" t="s">
        <v>229</v>
      </c>
      <c r="D730" t="s">
        <v>230</v>
      </c>
      <c r="E730">
        <v>0</v>
      </c>
      <c r="F730">
        <v>0</v>
      </c>
      <c r="H730" s="187"/>
      <c r="P730" t="str">
        <f t="shared" si="74"/>
        <v>MELUN0</v>
      </c>
      <c r="Q730" t="str">
        <f t="shared" si="75"/>
        <v>Forfait</v>
      </c>
      <c r="R730" t="str">
        <f t="shared" si="76"/>
        <v>W.O.</v>
      </c>
      <c r="S730">
        <f t="shared" si="77"/>
        <v>0</v>
      </c>
      <c r="T730">
        <f t="shared" si="78"/>
        <v>0</v>
      </c>
      <c r="U730" t="s">
        <v>510</v>
      </c>
    </row>
    <row r="731" spans="1:21" hidden="1" x14ac:dyDescent="0.2">
      <c r="A731" s="10" t="s">
        <v>495</v>
      </c>
      <c r="B731">
        <v>0</v>
      </c>
      <c r="C731" t="s">
        <v>229</v>
      </c>
      <c r="D731" t="s">
        <v>230</v>
      </c>
      <c r="E731">
        <v>0</v>
      </c>
      <c r="F731">
        <v>0</v>
      </c>
      <c r="H731" s="187"/>
      <c r="P731" t="str">
        <f t="shared" si="74"/>
        <v>MONTHYON0</v>
      </c>
      <c r="Q731" t="str">
        <f t="shared" si="75"/>
        <v>Forfait</v>
      </c>
      <c r="R731" t="str">
        <f t="shared" si="76"/>
        <v>W.O.</v>
      </c>
      <c r="S731">
        <f t="shared" si="77"/>
        <v>0</v>
      </c>
      <c r="T731">
        <f t="shared" si="78"/>
        <v>0</v>
      </c>
      <c r="U731" t="s">
        <v>510</v>
      </c>
    </row>
    <row r="732" spans="1:21" hidden="1" x14ac:dyDescent="0.2">
      <c r="A732" s="10" t="s">
        <v>590</v>
      </c>
      <c r="B732">
        <v>0</v>
      </c>
      <c r="C732" t="s">
        <v>229</v>
      </c>
      <c r="D732" t="s">
        <v>230</v>
      </c>
      <c r="E732">
        <v>0</v>
      </c>
      <c r="F732">
        <v>0</v>
      </c>
      <c r="H732" s="187"/>
      <c r="P732" t="str">
        <f t="shared" si="74"/>
        <v>JOUY SUR MORIN0</v>
      </c>
      <c r="Q732" t="str">
        <f t="shared" si="75"/>
        <v>Forfait</v>
      </c>
      <c r="R732" t="str">
        <f t="shared" si="76"/>
        <v>W.O.</v>
      </c>
      <c r="S732">
        <f t="shared" si="77"/>
        <v>0</v>
      </c>
      <c r="T732">
        <f t="shared" si="78"/>
        <v>0</v>
      </c>
      <c r="U732" t="s">
        <v>510</v>
      </c>
    </row>
    <row r="733" spans="1:21" hidden="1" x14ac:dyDescent="0.2">
      <c r="A733" s="10" t="s">
        <v>147</v>
      </c>
      <c r="B733">
        <v>0</v>
      </c>
      <c r="C733" t="s">
        <v>229</v>
      </c>
      <c r="D733" t="s">
        <v>230</v>
      </c>
      <c r="E733">
        <v>0</v>
      </c>
      <c r="F733">
        <v>0</v>
      </c>
      <c r="H733" s="187"/>
      <c r="P733" t="str">
        <f t="shared" si="74"/>
        <v>MOUSSY0</v>
      </c>
      <c r="Q733" t="str">
        <f t="shared" si="75"/>
        <v>Forfait</v>
      </c>
      <c r="R733" t="str">
        <f t="shared" si="76"/>
        <v>W.O.</v>
      </c>
      <c r="S733">
        <f t="shared" si="77"/>
        <v>0</v>
      </c>
      <c r="T733">
        <f t="shared" si="78"/>
        <v>0</v>
      </c>
      <c r="U733" t="s">
        <v>510</v>
      </c>
    </row>
    <row r="734" spans="1:21" hidden="1" x14ac:dyDescent="0.2">
      <c r="A734" s="10" t="s">
        <v>138</v>
      </c>
      <c r="B734">
        <v>0</v>
      </c>
      <c r="C734" t="s">
        <v>229</v>
      </c>
      <c r="D734" t="s">
        <v>230</v>
      </c>
      <c r="E734">
        <v>0</v>
      </c>
      <c r="F734">
        <v>0</v>
      </c>
      <c r="H734" s="187"/>
      <c r="P734" t="str">
        <f t="shared" si="74"/>
        <v>NANGIS0</v>
      </c>
      <c r="Q734" t="str">
        <f t="shared" si="75"/>
        <v>Forfait</v>
      </c>
      <c r="R734" t="str">
        <f t="shared" si="76"/>
        <v>W.O.</v>
      </c>
      <c r="S734">
        <f t="shared" si="77"/>
        <v>0</v>
      </c>
      <c r="T734">
        <f t="shared" si="78"/>
        <v>0</v>
      </c>
      <c r="U734" t="s">
        <v>510</v>
      </c>
    </row>
    <row r="735" spans="1:21" hidden="1" x14ac:dyDescent="0.2">
      <c r="A735" s="10" t="s">
        <v>139</v>
      </c>
      <c r="B735">
        <v>0</v>
      </c>
      <c r="C735" t="s">
        <v>229</v>
      </c>
      <c r="D735" t="s">
        <v>230</v>
      </c>
      <c r="E735">
        <v>0</v>
      </c>
      <c r="F735">
        <v>0</v>
      </c>
      <c r="H735" s="187"/>
      <c r="P735" t="str">
        <f t="shared" si="74"/>
        <v>NANTOUILLET0</v>
      </c>
      <c r="Q735" t="str">
        <f t="shared" si="75"/>
        <v>Forfait</v>
      </c>
      <c r="R735" t="str">
        <f t="shared" si="76"/>
        <v>W.O.</v>
      </c>
      <c r="S735">
        <f t="shared" si="77"/>
        <v>0</v>
      </c>
      <c r="T735">
        <f t="shared" si="78"/>
        <v>0</v>
      </c>
      <c r="U735" t="s">
        <v>510</v>
      </c>
    </row>
    <row r="736" spans="1:21" hidden="1" x14ac:dyDescent="0.2">
      <c r="A736" s="10" t="s">
        <v>650</v>
      </c>
      <c r="B736">
        <v>0</v>
      </c>
      <c r="C736" t="s">
        <v>229</v>
      </c>
      <c r="D736" t="s">
        <v>230</v>
      </c>
      <c r="E736">
        <v>0</v>
      </c>
      <c r="F736">
        <v>0</v>
      </c>
      <c r="H736" s="187"/>
      <c r="P736" t="str">
        <f t="shared" si="74"/>
        <v>QUINCY0</v>
      </c>
      <c r="Q736" t="str">
        <f t="shared" si="75"/>
        <v>Forfait</v>
      </c>
      <c r="R736" t="str">
        <f t="shared" si="76"/>
        <v>W.O.</v>
      </c>
      <c r="S736">
        <f t="shared" si="77"/>
        <v>0</v>
      </c>
      <c r="T736">
        <f t="shared" si="78"/>
        <v>0</v>
      </c>
      <c r="U736" t="s">
        <v>510</v>
      </c>
    </row>
    <row r="737" spans="1:21" hidden="1" x14ac:dyDescent="0.2">
      <c r="A737" s="10" t="s">
        <v>135</v>
      </c>
      <c r="B737">
        <v>0</v>
      </c>
      <c r="C737" t="s">
        <v>229</v>
      </c>
      <c r="D737" t="s">
        <v>230</v>
      </c>
      <c r="E737">
        <v>0</v>
      </c>
      <c r="F737">
        <v>0</v>
      </c>
      <c r="H737" s="187"/>
      <c r="P737" t="str">
        <f t="shared" si="74"/>
        <v>NOISIEL0</v>
      </c>
      <c r="Q737" t="str">
        <f t="shared" si="75"/>
        <v>Forfait</v>
      </c>
      <c r="R737" t="str">
        <f t="shared" si="76"/>
        <v>W.O.</v>
      </c>
      <c r="S737">
        <f t="shared" si="77"/>
        <v>0</v>
      </c>
      <c r="T737">
        <f t="shared" si="78"/>
        <v>0</v>
      </c>
      <c r="U737" t="s">
        <v>510</v>
      </c>
    </row>
    <row r="738" spans="1:21" hidden="1" x14ac:dyDescent="0.2">
      <c r="A738" s="10" t="s">
        <v>129</v>
      </c>
      <c r="B738">
        <v>0</v>
      </c>
      <c r="C738" t="s">
        <v>229</v>
      </c>
      <c r="D738" t="s">
        <v>230</v>
      </c>
      <c r="E738">
        <v>0</v>
      </c>
      <c r="F738">
        <v>0</v>
      </c>
      <c r="H738" s="187"/>
      <c r="P738" t="str">
        <f t="shared" si="74"/>
        <v>PONTHIERRY0</v>
      </c>
      <c r="Q738" t="str">
        <f t="shared" si="75"/>
        <v>Forfait</v>
      </c>
      <c r="R738" t="str">
        <f t="shared" si="76"/>
        <v>W.O.</v>
      </c>
      <c r="S738">
        <f t="shared" si="77"/>
        <v>0</v>
      </c>
      <c r="T738">
        <f t="shared" si="78"/>
        <v>0</v>
      </c>
      <c r="U738" t="s">
        <v>510</v>
      </c>
    </row>
    <row r="739" spans="1:21" hidden="1" x14ac:dyDescent="0.2">
      <c r="A739" s="10" t="s">
        <v>136</v>
      </c>
      <c r="B739">
        <v>0</v>
      </c>
      <c r="C739" t="s">
        <v>229</v>
      </c>
      <c r="D739" t="s">
        <v>230</v>
      </c>
      <c r="E739">
        <v>0</v>
      </c>
      <c r="F739">
        <v>0</v>
      </c>
      <c r="H739" s="187"/>
      <c r="P739" t="str">
        <f t="shared" si="74"/>
        <v>PROVINS0</v>
      </c>
      <c r="Q739" t="str">
        <f t="shared" si="75"/>
        <v>Forfait</v>
      </c>
      <c r="R739" t="str">
        <f t="shared" si="76"/>
        <v>W.O.</v>
      </c>
      <c r="S739">
        <f t="shared" si="77"/>
        <v>0</v>
      </c>
      <c r="T739">
        <f t="shared" si="78"/>
        <v>0</v>
      </c>
      <c r="U739" t="s">
        <v>510</v>
      </c>
    </row>
    <row r="740" spans="1:21" hidden="1" x14ac:dyDescent="0.2">
      <c r="A740" s="10" t="s">
        <v>148</v>
      </c>
      <c r="B740">
        <v>0</v>
      </c>
      <c r="C740" t="s">
        <v>229</v>
      </c>
      <c r="D740" t="s">
        <v>230</v>
      </c>
      <c r="E740">
        <v>0</v>
      </c>
      <c r="F740">
        <v>0</v>
      </c>
      <c r="H740" s="187"/>
      <c r="P740" t="str">
        <f t="shared" si="74"/>
        <v>ROZAY0</v>
      </c>
      <c r="Q740" t="str">
        <f t="shared" si="75"/>
        <v>Forfait</v>
      </c>
      <c r="R740" t="str">
        <f t="shared" si="76"/>
        <v>W.O.</v>
      </c>
      <c r="S740">
        <f t="shared" si="77"/>
        <v>0</v>
      </c>
      <c r="T740">
        <f t="shared" si="78"/>
        <v>0</v>
      </c>
      <c r="U740" t="s">
        <v>510</v>
      </c>
    </row>
    <row r="741" spans="1:21" hidden="1" x14ac:dyDescent="0.2">
      <c r="A741" s="10" t="s">
        <v>149</v>
      </c>
      <c r="B741">
        <v>0</v>
      </c>
      <c r="C741" t="s">
        <v>229</v>
      </c>
      <c r="D741" t="s">
        <v>230</v>
      </c>
      <c r="E741">
        <v>0</v>
      </c>
      <c r="F741">
        <v>0</v>
      </c>
      <c r="H741" s="187"/>
      <c r="P741" t="str">
        <f t="shared" si="74"/>
        <v>SAVIGNY0</v>
      </c>
      <c r="Q741" t="str">
        <f t="shared" si="75"/>
        <v>Forfait</v>
      </c>
      <c r="R741" t="str">
        <f t="shared" si="76"/>
        <v>W.O.</v>
      </c>
      <c r="S741">
        <f t="shared" si="77"/>
        <v>0</v>
      </c>
      <c r="T741">
        <f t="shared" si="78"/>
        <v>0</v>
      </c>
      <c r="U741" t="s">
        <v>510</v>
      </c>
    </row>
    <row r="742" spans="1:21" hidden="1" x14ac:dyDescent="0.2">
      <c r="A742" s="10" t="s">
        <v>130</v>
      </c>
      <c r="B742">
        <v>0</v>
      </c>
      <c r="C742" t="s">
        <v>229</v>
      </c>
      <c r="D742" t="s">
        <v>230</v>
      </c>
      <c r="E742">
        <v>0</v>
      </c>
      <c r="F742">
        <v>0</v>
      </c>
      <c r="H742" s="187"/>
      <c r="P742" t="str">
        <f t="shared" si="74"/>
        <v>SOUPPES0</v>
      </c>
      <c r="Q742" t="str">
        <f t="shared" si="75"/>
        <v>Forfait</v>
      </c>
      <c r="R742" t="str">
        <f t="shared" si="76"/>
        <v>W.O.</v>
      </c>
      <c r="S742">
        <f t="shared" si="77"/>
        <v>0</v>
      </c>
      <c r="T742">
        <f t="shared" si="78"/>
        <v>0</v>
      </c>
      <c r="U742" t="s">
        <v>510</v>
      </c>
    </row>
    <row r="743" spans="1:21" x14ac:dyDescent="0.2">
      <c r="A743" s="10" t="s">
        <v>150</v>
      </c>
      <c r="B743">
        <v>0</v>
      </c>
      <c r="C743" t="s">
        <v>229</v>
      </c>
      <c r="D743" t="s">
        <v>230</v>
      </c>
      <c r="E743">
        <v>0</v>
      </c>
      <c r="F743">
        <v>0</v>
      </c>
      <c r="H743" s="187"/>
      <c r="P743" t="str">
        <f t="shared" si="74"/>
        <v>VENEUX0</v>
      </c>
      <c r="Q743" t="str">
        <f t="shared" si="75"/>
        <v>Forfait</v>
      </c>
      <c r="R743" t="str">
        <f t="shared" si="76"/>
        <v>W.O.</v>
      </c>
      <c r="S743">
        <f t="shared" si="77"/>
        <v>0</v>
      </c>
      <c r="T743">
        <f t="shared" si="78"/>
        <v>0</v>
      </c>
      <c r="U743" t="s">
        <v>510</v>
      </c>
    </row>
    <row r="744" spans="1:21" hidden="1" x14ac:dyDescent="0.2">
      <c r="A744" s="10" t="s">
        <v>137</v>
      </c>
      <c r="B744">
        <v>0</v>
      </c>
      <c r="C744" t="s">
        <v>229</v>
      </c>
      <c r="D744" t="s">
        <v>230</v>
      </c>
      <c r="E744">
        <v>0</v>
      </c>
      <c r="F744">
        <v>0</v>
      </c>
      <c r="H744" s="187"/>
      <c r="P744" t="str">
        <f t="shared" si="74"/>
        <v>VILLEMER0</v>
      </c>
      <c r="Q744" t="str">
        <f t="shared" si="75"/>
        <v>Forfait</v>
      </c>
      <c r="R744" t="str">
        <f t="shared" si="76"/>
        <v>W.O.</v>
      </c>
      <c r="S744">
        <f t="shared" si="77"/>
        <v>0</v>
      </c>
      <c r="T744">
        <f t="shared" si="78"/>
        <v>0</v>
      </c>
      <c r="U744" t="s">
        <v>510</v>
      </c>
    </row>
    <row r="745" spans="1:21" hidden="1" x14ac:dyDescent="0.2">
      <c r="A745" s="10" t="s">
        <v>140</v>
      </c>
      <c r="B745">
        <v>0</v>
      </c>
      <c r="C745" t="s">
        <v>229</v>
      </c>
      <c r="D745" t="s">
        <v>230</v>
      </c>
      <c r="E745">
        <v>0</v>
      </c>
      <c r="F745">
        <v>0</v>
      </c>
      <c r="H745" s="187"/>
      <c r="P745" t="str">
        <f t="shared" si="74"/>
        <v>VOISENON0</v>
      </c>
      <c r="Q745" t="str">
        <f t="shared" si="75"/>
        <v>Forfait</v>
      </c>
      <c r="R745" t="str">
        <f t="shared" si="76"/>
        <v>W.O.</v>
      </c>
      <c r="S745">
        <f t="shared" si="77"/>
        <v>0</v>
      </c>
      <c r="T745">
        <f t="shared" si="78"/>
        <v>0</v>
      </c>
      <c r="U745" t="s">
        <v>510</v>
      </c>
    </row>
    <row r="746" spans="1:21" hidden="1" x14ac:dyDescent="0.2">
      <c r="A746" s="10" t="s">
        <v>151</v>
      </c>
      <c r="B746">
        <v>0</v>
      </c>
      <c r="C746" t="s">
        <v>229</v>
      </c>
      <c r="D746" t="s">
        <v>230</v>
      </c>
      <c r="E746">
        <v>0</v>
      </c>
      <c r="F746">
        <v>0</v>
      </c>
      <c r="H746" s="187"/>
      <c r="P746" t="str">
        <f t="shared" si="74"/>
        <v>VULAINES0</v>
      </c>
      <c r="Q746" t="str">
        <f t="shared" si="75"/>
        <v>Forfait</v>
      </c>
      <c r="R746" t="str">
        <f t="shared" si="76"/>
        <v>W.O.</v>
      </c>
      <c r="S746">
        <f t="shared" si="77"/>
        <v>0</v>
      </c>
      <c r="T746">
        <f t="shared" si="78"/>
        <v>0</v>
      </c>
      <c r="U746" t="s">
        <v>510</v>
      </c>
    </row>
    <row r="747" spans="1:21" hidden="1" x14ac:dyDescent="0.2">
      <c r="A747" s="10" t="s">
        <v>505</v>
      </c>
      <c r="B747">
        <v>0</v>
      </c>
      <c r="C747" t="s">
        <v>229</v>
      </c>
      <c r="D747" t="s">
        <v>230</v>
      </c>
      <c r="E747">
        <v>0</v>
      </c>
      <c r="F747">
        <v>0</v>
      </c>
      <c r="H747" s="187"/>
      <c r="P747" t="str">
        <f t="shared" si="74"/>
        <v>ENT SOU/NEM0</v>
      </c>
      <c r="Q747" t="str">
        <f t="shared" si="75"/>
        <v>Forfait</v>
      </c>
      <c r="R747" t="str">
        <f t="shared" si="76"/>
        <v>W.O.</v>
      </c>
      <c r="S747">
        <f t="shared" si="77"/>
        <v>0</v>
      </c>
      <c r="T747">
        <f t="shared" si="78"/>
        <v>0</v>
      </c>
      <c r="U747" t="s">
        <v>510</v>
      </c>
    </row>
    <row r="748" spans="1:21" hidden="1" x14ac:dyDescent="0.2">
      <c r="A748" s="10" t="s">
        <v>488</v>
      </c>
      <c r="B748">
        <v>0</v>
      </c>
      <c r="C748" t="s">
        <v>229</v>
      </c>
      <c r="D748" t="s">
        <v>230</v>
      </c>
      <c r="E748">
        <v>0</v>
      </c>
      <c r="F748">
        <v>0</v>
      </c>
      <c r="H748" s="187"/>
      <c r="P748" t="str">
        <f t="shared" si="74"/>
        <v>ENT SOU/NEM/CHA0</v>
      </c>
      <c r="Q748" t="str">
        <f t="shared" si="75"/>
        <v>Forfait</v>
      </c>
      <c r="R748" t="str">
        <f t="shared" si="76"/>
        <v>W.O.</v>
      </c>
      <c r="S748">
        <f t="shared" si="77"/>
        <v>0</v>
      </c>
      <c r="T748">
        <f t="shared" si="78"/>
        <v>0</v>
      </c>
      <c r="U748" t="s">
        <v>510</v>
      </c>
    </row>
  </sheetData>
  <sheetProtection sheet="1" formatColumns="0" selectLockedCells="1" autoFilter="0" selectUnlockedCells="1"/>
  <autoFilter ref="A2:U748" xr:uid="{00000000-0009-0000-0000-00000C000000}">
    <filterColumn colId="0">
      <filters>
        <filter val="VENEUX"/>
      </filters>
    </filterColumn>
  </autoFilter>
  <sortState xmlns:xlrd2="http://schemas.microsoft.com/office/spreadsheetml/2017/richdata2" ref="A3:U713">
    <sortCondition ref="A3:A713"/>
    <sortCondition ref="C3:C713"/>
    <sortCondition ref="D3:D713"/>
  </sortState>
  <conditionalFormatting sqref="F3:F713">
    <cfRule type="duplicateValues" dxfId="50" priority="1085"/>
  </conditionalFormatting>
  <conditionalFormatting sqref="F385">
    <cfRule type="duplicateValues" dxfId="49" priority="1"/>
  </conditionalFormatting>
  <conditionalFormatting sqref="F399:F407">
    <cfRule type="duplicateValues" dxfId="48" priority="615"/>
  </conditionalFormatting>
  <conditionalFormatting sqref="F408:F713 F335 F222:F223 F185 F163 F51:F52">
    <cfRule type="duplicateValues" dxfId="47" priority="1084"/>
  </conditionalFormatting>
  <conditionalFormatting sqref="F714:F1048576 F1:F50 F53:F162 F164:F184 F186:F221 F336:F384 F386:F398 F224:F334">
    <cfRule type="duplicateValues" dxfId="46" priority="7"/>
  </conditionalFormatting>
  <conditionalFormatting sqref="V355:V362 U1:U1048576">
    <cfRule type="duplicateValues" dxfId="45" priority="272"/>
  </conditionalFormatting>
  <pageMargins left="0.70866141732283472" right="0.70866141732283472" top="0.74803149606299213" bottom="0.74803149606299213" header="0.31496062992125984" footer="0.31496062992125984"/>
  <pageSetup paperSize="9" scale="58" fitToHeight="7" orientation="portrait" r:id="rId1"/>
  <headerFooter>
    <oddHeader>&amp;C&amp;"Calibri"&amp;10&amp;KFF8C00C2 - Confidential&amp;1#</oddHeader>
  </headerFooter>
  <customProperties>
    <customPr name="_pios_id" r:id="rId2"/>
  </customProperties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Feuil7">
    <tabColor rgb="FF00B050"/>
  </sheetPr>
  <dimension ref="A1:C19"/>
  <sheetViews>
    <sheetView showGridLines="0" workbookViewId="0">
      <pane ySplit="1" topLeftCell="A2" activePane="bottomLeft" state="frozen"/>
      <selection pane="bottomLeft" activeCell="C16" sqref="C16"/>
    </sheetView>
  </sheetViews>
  <sheetFormatPr baseColWidth="10" defaultRowHeight="16" x14ac:dyDescent="0.2"/>
  <cols>
    <col min="1" max="1" width="19.6640625" customWidth="1"/>
    <col min="2" max="2" width="72.6640625" customWidth="1"/>
    <col min="3" max="3" width="27.33203125" customWidth="1"/>
  </cols>
  <sheetData>
    <row r="1" spans="1:3" x14ac:dyDescent="0.2">
      <c r="A1" s="16" t="s">
        <v>232</v>
      </c>
      <c r="B1" s="16" t="s">
        <v>233</v>
      </c>
      <c r="C1" s="289" t="s">
        <v>1051</v>
      </c>
    </row>
    <row r="2" spans="1:3" x14ac:dyDescent="0.2">
      <c r="A2" s="17" t="s">
        <v>141</v>
      </c>
      <c r="B2" s="17" t="s">
        <v>1040</v>
      </c>
      <c r="C2" s="18" t="s">
        <v>234</v>
      </c>
    </row>
    <row r="3" spans="1:3" x14ac:dyDescent="0.2">
      <c r="A3" s="17" t="s">
        <v>240</v>
      </c>
      <c r="B3" s="17" t="s">
        <v>1041</v>
      </c>
      <c r="C3" s="18" t="s">
        <v>235</v>
      </c>
    </row>
    <row r="4" spans="1:3" ht="17" x14ac:dyDescent="0.2">
      <c r="A4" s="17" t="s">
        <v>241</v>
      </c>
      <c r="B4" s="17" t="s">
        <v>1042</v>
      </c>
      <c r="C4" s="18" t="s">
        <v>506</v>
      </c>
    </row>
    <row r="5" spans="1:3" x14ac:dyDescent="0.2">
      <c r="A5" s="17" t="s">
        <v>242</v>
      </c>
      <c r="B5" s="17" t="s">
        <v>1043</v>
      </c>
      <c r="C5" s="18" t="s">
        <v>817</v>
      </c>
    </row>
    <row r="6" spans="1:3" x14ac:dyDescent="0.2">
      <c r="A6" s="17" t="s">
        <v>243</v>
      </c>
      <c r="B6" s="17" t="s">
        <v>1044</v>
      </c>
      <c r="C6" s="18" t="s">
        <v>236</v>
      </c>
    </row>
    <row r="7" spans="1:3" ht="17" x14ac:dyDescent="0.2">
      <c r="A7" s="17" t="s">
        <v>133</v>
      </c>
      <c r="B7" s="19" t="s">
        <v>1045</v>
      </c>
      <c r="C7" s="18" t="s">
        <v>423</v>
      </c>
    </row>
    <row r="8" spans="1:3" x14ac:dyDescent="0.2">
      <c r="A8" s="20" t="s">
        <v>144</v>
      </c>
      <c r="B8" s="17" t="s">
        <v>1046</v>
      </c>
      <c r="C8" s="18" t="s">
        <v>237</v>
      </c>
    </row>
    <row r="9" spans="1:3" x14ac:dyDescent="0.2">
      <c r="A9" s="17" t="s">
        <v>146</v>
      </c>
      <c r="B9" s="17" t="s">
        <v>1047</v>
      </c>
      <c r="C9" s="18" t="s">
        <v>677</v>
      </c>
    </row>
    <row r="10" spans="1:3" x14ac:dyDescent="0.2">
      <c r="A10" s="17" t="s">
        <v>134</v>
      </c>
      <c r="B10" s="17" t="s">
        <v>1048</v>
      </c>
      <c r="C10" s="18" t="s">
        <v>1852</v>
      </c>
    </row>
    <row r="11" spans="1:3" x14ac:dyDescent="0.2">
      <c r="A11" s="17" t="s">
        <v>495</v>
      </c>
      <c r="B11" s="17" t="s">
        <v>1049</v>
      </c>
      <c r="C11" s="18" t="s">
        <v>818</v>
      </c>
    </row>
    <row r="12" spans="1:3" ht="17" x14ac:dyDescent="0.2">
      <c r="A12" s="19" t="s">
        <v>139</v>
      </c>
      <c r="B12" s="19" t="s">
        <v>1050</v>
      </c>
      <c r="C12" s="18" t="s">
        <v>238</v>
      </c>
    </row>
    <row r="13" spans="1:3" x14ac:dyDescent="0.2">
      <c r="A13" s="17" t="s">
        <v>129</v>
      </c>
      <c r="B13" s="17" t="s">
        <v>1034</v>
      </c>
      <c r="C13" s="18" t="s">
        <v>269</v>
      </c>
    </row>
    <row r="14" spans="1:3" x14ac:dyDescent="0.2">
      <c r="A14" s="17" t="s">
        <v>136</v>
      </c>
      <c r="B14" s="17" t="s">
        <v>1035</v>
      </c>
      <c r="C14" s="18" t="s">
        <v>622</v>
      </c>
    </row>
    <row r="15" spans="1:3" x14ac:dyDescent="0.2">
      <c r="A15" s="17" t="s">
        <v>148</v>
      </c>
      <c r="B15" s="17" t="s">
        <v>1514</v>
      </c>
      <c r="C15" s="18" t="s">
        <v>239</v>
      </c>
    </row>
    <row r="16" spans="1:3" x14ac:dyDescent="0.2">
      <c r="A16" s="17" t="s">
        <v>150</v>
      </c>
      <c r="B16" s="17" t="s">
        <v>1036</v>
      </c>
      <c r="C16" s="18" t="s">
        <v>2053</v>
      </c>
    </row>
    <row r="17" spans="1:3" x14ac:dyDescent="0.2">
      <c r="A17" s="17" t="s">
        <v>137</v>
      </c>
      <c r="B17" s="17" t="s">
        <v>1037</v>
      </c>
      <c r="C17" s="18" t="s">
        <v>819</v>
      </c>
    </row>
    <row r="18" spans="1:3" ht="17" x14ac:dyDescent="0.2">
      <c r="A18" s="19" t="s">
        <v>140</v>
      </c>
      <c r="B18" s="17" t="s">
        <v>1038</v>
      </c>
      <c r="C18" s="18" t="s">
        <v>995</v>
      </c>
    </row>
    <row r="19" spans="1:3" ht="17" x14ac:dyDescent="0.2">
      <c r="A19" s="17" t="s">
        <v>151</v>
      </c>
      <c r="B19" s="17" t="s">
        <v>1039</v>
      </c>
      <c r="C19" s="18" t="s">
        <v>1853</v>
      </c>
    </row>
  </sheetData>
  <sheetProtection formatColumns="0" selectLockedCells="1" selectUnlockedCells="1"/>
  <hyperlinks>
    <hyperlink ref="C13" r:id="rId1" xr:uid="{00000000-0004-0000-0D00-000000000000}"/>
    <hyperlink ref="C7" r:id="rId2" xr:uid="{00000000-0004-0000-0D00-000001000000}"/>
    <hyperlink ref="C4" r:id="rId3" xr:uid="{00000000-0004-0000-0D00-000002000000}"/>
    <hyperlink ref="C5" r:id="rId4" xr:uid="{00000000-0004-0000-0D00-000003000000}"/>
    <hyperlink ref="C9" r:id="rId5" xr:uid="{00000000-0004-0000-0D00-000004000000}"/>
    <hyperlink ref="C14" r:id="rId6" xr:uid="{00000000-0004-0000-0D00-000006000000}"/>
    <hyperlink ref="C11" r:id="rId7" xr:uid="{00000000-0004-0000-0D00-000009000000}"/>
    <hyperlink ref="C17" r:id="rId8" xr:uid="{00000000-0004-0000-0D00-00000A000000}"/>
    <hyperlink ref="C18" r:id="rId9" xr:uid="{00000000-0004-0000-0D00-00000B000000}"/>
    <hyperlink ref="C10" r:id="rId10" display="usmtt77.varenguin@gmail.com" xr:uid="{00000000-0004-0000-0D00-000007000000}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3" r:id="rId11"/>
  <headerFooter>
    <oddHeader>&amp;C&amp;"Calibri"&amp;10&amp;KFF8C00C2 - Confidential&amp;1#_x000D_&amp;"Calibri"&amp;11&amp;K000000&amp;"Calibri,Normal"&amp;14&amp;K000000UFOLEP : LISTING DES CLUB 2023-2024</oddHeader>
  </headerFooter>
  <customProperties>
    <customPr name="_pios_id" r:id="rId12"/>
  </customPropertie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D500A-7CDE-4BD3-9AF9-FED76DFB462B}">
  <sheetPr>
    <tabColor rgb="FF00B050"/>
  </sheetPr>
  <dimension ref="A1:H78"/>
  <sheetViews>
    <sheetView workbookViewId="0">
      <pane ySplit="1" topLeftCell="A2" activePane="bottomLeft" state="frozen"/>
      <selection activeCell="D5" sqref="D5"/>
      <selection pane="bottomLeft" activeCell="F2" sqref="F2"/>
    </sheetView>
  </sheetViews>
  <sheetFormatPr baseColWidth="10" defaultRowHeight="16" x14ac:dyDescent="0.2"/>
  <cols>
    <col min="1" max="1" width="26.33203125" style="1" customWidth="1"/>
    <col min="2" max="2" width="19.6640625" style="408" customWidth="1"/>
    <col min="3" max="3" width="10.33203125" style="1" bestFit="1" customWidth="1"/>
    <col min="6" max="6" width="31.83203125" customWidth="1"/>
    <col min="7" max="7" width="13.6640625" customWidth="1"/>
    <col min="8" max="8" width="10.6640625" style="25"/>
  </cols>
  <sheetData>
    <row r="1" spans="1:8" x14ac:dyDescent="0.2">
      <c r="A1" s="406" t="s">
        <v>1669</v>
      </c>
      <c r="B1" s="407" t="s">
        <v>387</v>
      </c>
      <c r="C1" s="406" t="s">
        <v>29</v>
      </c>
      <c r="F1" t="s">
        <v>1745</v>
      </c>
    </row>
    <row r="2" spans="1:8" x14ac:dyDescent="0.2">
      <c r="A2" s="415" t="s">
        <v>1670</v>
      </c>
      <c r="B2" s="416">
        <v>1</v>
      </c>
      <c r="C2" s="417">
        <v>45923</v>
      </c>
      <c r="F2" s="409" t="s">
        <v>1696</v>
      </c>
      <c r="G2" s="410" t="s">
        <v>1675</v>
      </c>
      <c r="H2" s="411">
        <v>45923</v>
      </c>
    </row>
    <row r="3" spans="1:8" x14ac:dyDescent="0.2">
      <c r="A3" s="415" t="s">
        <v>1670</v>
      </c>
      <c r="B3" s="416">
        <v>2</v>
      </c>
      <c r="C3" s="418">
        <v>45937</v>
      </c>
      <c r="F3" s="412" t="s">
        <v>1696</v>
      </c>
      <c r="G3" s="410" t="s">
        <v>1676</v>
      </c>
      <c r="H3" s="411">
        <v>45937</v>
      </c>
    </row>
    <row r="4" spans="1:8" x14ac:dyDescent="0.2">
      <c r="A4" s="415" t="s">
        <v>1670</v>
      </c>
      <c r="B4" s="416">
        <v>3</v>
      </c>
      <c r="C4" s="417">
        <v>45965</v>
      </c>
      <c r="F4" s="409" t="s">
        <v>1696</v>
      </c>
      <c r="G4" s="410" t="s">
        <v>1677</v>
      </c>
      <c r="H4" s="411">
        <v>45965</v>
      </c>
    </row>
    <row r="5" spans="1:8" x14ac:dyDescent="0.2">
      <c r="A5" s="415" t="s">
        <v>1670</v>
      </c>
      <c r="B5" s="416">
        <v>4</v>
      </c>
      <c r="C5" s="418">
        <v>45986</v>
      </c>
      <c r="F5" s="412" t="s">
        <v>1696</v>
      </c>
      <c r="G5" s="410" t="s">
        <v>1678</v>
      </c>
      <c r="H5" s="411">
        <v>45986</v>
      </c>
    </row>
    <row r="6" spans="1:8" x14ac:dyDescent="0.2">
      <c r="A6" s="415" t="s">
        <v>1670</v>
      </c>
      <c r="B6" s="416">
        <v>5</v>
      </c>
      <c r="C6" s="417">
        <v>46007</v>
      </c>
      <c r="F6" s="409" t="s">
        <v>1696</v>
      </c>
      <c r="G6" s="410" t="s">
        <v>1679</v>
      </c>
      <c r="H6" s="411">
        <v>46007</v>
      </c>
    </row>
    <row r="7" spans="1:8" x14ac:dyDescent="0.2">
      <c r="A7" s="415" t="s">
        <v>1670</v>
      </c>
      <c r="B7" s="416">
        <v>6</v>
      </c>
      <c r="C7" s="418">
        <v>46056</v>
      </c>
      <c r="F7" s="412" t="s">
        <v>1696</v>
      </c>
      <c r="G7" s="410" t="s">
        <v>1680</v>
      </c>
      <c r="H7" s="411">
        <v>46056</v>
      </c>
    </row>
    <row r="8" spans="1:8" x14ac:dyDescent="0.2">
      <c r="A8" s="415" t="s">
        <v>1670</v>
      </c>
      <c r="B8" s="416">
        <v>7</v>
      </c>
      <c r="C8" s="417">
        <v>46070</v>
      </c>
      <c r="F8" s="409" t="s">
        <v>1696</v>
      </c>
      <c r="G8" s="410" t="s">
        <v>1681</v>
      </c>
      <c r="H8" s="411">
        <v>46070</v>
      </c>
    </row>
    <row r="9" spans="1:8" x14ac:dyDescent="0.2">
      <c r="A9" s="415" t="s">
        <v>1670</v>
      </c>
      <c r="B9" s="416">
        <v>8</v>
      </c>
      <c r="C9" s="418">
        <v>46098</v>
      </c>
      <c r="F9" s="412" t="s">
        <v>1696</v>
      </c>
      <c r="G9" s="410" t="s">
        <v>1682</v>
      </c>
      <c r="H9" s="411">
        <v>46098</v>
      </c>
    </row>
    <row r="10" spans="1:8" x14ac:dyDescent="0.2">
      <c r="A10" s="415" t="s">
        <v>1670</v>
      </c>
      <c r="B10" s="416">
        <v>9</v>
      </c>
      <c r="C10" s="417">
        <v>46112</v>
      </c>
      <c r="F10" s="409" t="s">
        <v>1696</v>
      </c>
      <c r="G10" s="410" t="s">
        <v>1683</v>
      </c>
      <c r="H10" s="411">
        <v>46112</v>
      </c>
    </row>
    <row r="11" spans="1:8" x14ac:dyDescent="0.2">
      <c r="A11" s="415" t="s">
        <v>1670</v>
      </c>
      <c r="B11" s="416">
        <v>10</v>
      </c>
      <c r="C11" s="418">
        <v>46147</v>
      </c>
      <c r="F11" s="412" t="s">
        <v>1696</v>
      </c>
      <c r="G11" s="410" t="s">
        <v>1684</v>
      </c>
      <c r="H11" s="411">
        <v>46147</v>
      </c>
    </row>
    <row r="12" spans="1:8" x14ac:dyDescent="0.2">
      <c r="A12" s="415" t="s">
        <v>1670</v>
      </c>
      <c r="B12" s="419" t="s">
        <v>1693</v>
      </c>
      <c r="C12" s="417">
        <v>46168</v>
      </c>
      <c r="F12" s="409" t="s">
        <v>1696</v>
      </c>
      <c r="G12" s="410" t="s">
        <v>1685</v>
      </c>
      <c r="H12" s="411">
        <v>46168</v>
      </c>
    </row>
    <row r="13" spans="1:8" x14ac:dyDescent="0.2">
      <c r="A13" s="415" t="s">
        <v>1670</v>
      </c>
      <c r="B13" s="419" t="s">
        <v>1694</v>
      </c>
      <c r="C13" s="417">
        <v>46168</v>
      </c>
      <c r="F13" s="413" t="s">
        <v>1697</v>
      </c>
      <c r="G13" s="413" t="s">
        <v>1675</v>
      </c>
      <c r="H13" s="414">
        <v>45930</v>
      </c>
    </row>
    <row r="14" spans="1:8" x14ac:dyDescent="0.2">
      <c r="A14" s="415" t="s">
        <v>1671</v>
      </c>
      <c r="B14" s="416">
        <v>1</v>
      </c>
      <c r="C14" s="414">
        <v>45930</v>
      </c>
      <c r="F14" s="413" t="s">
        <v>1697</v>
      </c>
      <c r="G14" s="413" t="s">
        <v>1676</v>
      </c>
      <c r="H14" s="414">
        <v>45944</v>
      </c>
    </row>
    <row r="15" spans="1:8" x14ac:dyDescent="0.2">
      <c r="A15" s="415" t="s">
        <v>1671</v>
      </c>
      <c r="B15" s="416">
        <v>2</v>
      </c>
      <c r="C15" s="414">
        <v>45944</v>
      </c>
      <c r="F15" s="413" t="s">
        <v>1697</v>
      </c>
      <c r="G15" s="413" t="s">
        <v>1677</v>
      </c>
      <c r="H15" s="414">
        <v>45979</v>
      </c>
    </row>
    <row r="16" spans="1:8" x14ac:dyDescent="0.2">
      <c r="A16" s="415" t="s">
        <v>1671</v>
      </c>
      <c r="B16" s="416">
        <v>3</v>
      </c>
      <c r="C16" s="414">
        <v>45979</v>
      </c>
      <c r="F16" s="413" t="s">
        <v>1697</v>
      </c>
      <c r="G16" s="413" t="s">
        <v>1678</v>
      </c>
      <c r="H16" s="414">
        <v>46000</v>
      </c>
    </row>
    <row r="17" spans="1:8" x14ac:dyDescent="0.2">
      <c r="A17" s="415" t="s">
        <v>1671</v>
      </c>
      <c r="B17" s="416">
        <v>4</v>
      </c>
      <c r="C17" s="414">
        <v>46000</v>
      </c>
      <c r="F17" s="413" t="s">
        <v>1697</v>
      </c>
      <c r="G17" s="413" t="s">
        <v>1679</v>
      </c>
      <c r="H17" s="414">
        <v>46028</v>
      </c>
    </row>
    <row r="18" spans="1:8" x14ac:dyDescent="0.2">
      <c r="A18" s="415" t="s">
        <v>1671</v>
      </c>
      <c r="B18" s="416">
        <v>5</v>
      </c>
      <c r="C18" s="414">
        <v>46028</v>
      </c>
      <c r="F18" s="413" t="s">
        <v>1697</v>
      </c>
      <c r="G18" s="413" t="s">
        <v>1680</v>
      </c>
      <c r="H18" s="414">
        <v>46063</v>
      </c>
    </row>
    <row r="19" spans="1:8" ht="19" x14ac:dyDescent="0.2">
      <c r="A19" s="415" t="s">
        <v>1671</v>
      </c>
      <c r="B19" s="420">
        <v>6</v>
      </c>
      <c r="C19" s="414">
        <v>46063</v>
      </c>
      <c r="F19" s="413" t="s">
        <v>1697</v>
      </c>
      <c r="G19" s="413" t="s">
        <v>1681</v>
      </c>
      <c r="H19" s="414">
        <v>46091</v>
      </c>
    </row>
    <row r="20" spans="1:8" x14ac:dyDescent="0.2">
      <c r="A20" s="415" t="s">
        <v>1671</v>
      </c>
      <c r="B20" s="416">
        <v>7</v>
      </c>
      <c r="C20" s="414">
        <v>46091</v>
      </c>
      <c r="F20" s="413" t="s">
        <v>1697</v>
      </c>
      <c r="G20" s="413" t="s">
        <v>1682</v>
      </c>
      <c r="H20" s="414">
        <v>46105</v>
      </c>
    </row>
    <row r="21" spans="1:8" x14ac:dyDescent="0.2">
      <c r="A21" s="415" t="s">
        <v>1671</v>
      </c>
      <c r="B21" s="416">
        <v>8</v>
      </c>
      <c r="C21" s="414">
        <v>46105</v>
      </c>
      <c r="F21" s="413" t="s">
        <v>1697</v>
      </c>
      <c r="G21" s="413" t="s">
        <v>1683</v>
      </c>
      <c r="H21" s="414">
        <v>46126</v>
      </c>
    </row>
    <row r="22" spans="1:8" x14ac:dyDescent="0.2">
      <c r="A22" s="415" t="s">
        <v>1671</v>
      </c>
      <c r="B22" s="416">
        <v>9</v>
      </c>
      <c r="C22" s="414">
        <v>46126</v>
      </c>
      <c r="F22" s="413" t="s">
        <v>1697</v>
      </c>
      <c r="G22" s="413" t="s">
        <v>1684</v>
      </c>
      <c r="H22" s="414">
        <v>46154</v>
      </c>
    </row>
    <row r="23" spans="1:8" x14ac:dyDescent="0.2">
      <c r="A23" s="415" t="s">
        <v>1671</v>
      </c>
      <c r="B23" s="416">
        <v>10</v>
      </c>
      <c r="C23" s="414">
        <v>46154</v>
      </c>
      <c r="F23" s="413" t="s">
        <v>1697</v>
      </c>
      <c r="G23" s="413" t="s">
        <v>1685</v>
      </c>
      <c r="H23" s="414">
        <v>46175</v>
      </c>
    </row>
    <row r="24" spans="1:8" x14ac:dyDescent="0.2">
      <c r="A24" s="415" t="s">
        <v>1671</v>
      </c>
      <c r="B24" s="421" t="s">
        <v>1695</v>
      </c>
      <c r="C24" s="414">
        <v>46175</v>
      </c>
      <c r="F24" s="410" t="s">
        <v>1698</v>
      </c>
      <c r="G24" s="410" t="s">
        <v>1675</v>
      </c>
      <c r="H24" s="411">
        <v>45927</v>
      </c>
    </row>
    <row r="25" spans="1:8" x14ac:dyDescent="0.2">
      <c r="A25" s="415" t="s">
        <v>1671</v>
      </c>
      <c r="B25" s="421" t="s">
        <v>1694</v>
      </c>
      <c r="C25" s="414">
        <v>46175</v>
      </c>
      <c r="F25" s="410" t="s">
        <v>1698</v>
      </c>
      <c r="G25" s="410" t="s">
        <v>1676</v>
      </c>
      <c r="H25" s="411">
        <v>45941</v>
      </c>
    </row>
    <row r="26" spans="1:8" x14ac:dyDescent="0.2">
      <c r="A26" s="415" t="s">
        <v>1672</v>
      </c>
      <c r="B26" s="416">
        <v>1</v>
      </c>
      <c r="C26" s="411">
        <v>45927</v>
      </c>
      <c r="F26" s="410" t="s">
        <v>1698</v>
      </c>
      <c r="G26" s="410" t="s">
        <v>1677</v>
      </c>
      <c r="H26" s="411">
        <v>45969</v>
      </c>
    </row>
    <row r="27" spans="1:8" x14ac:dyDescent="0.2">
      <c r="A27" s="415" t="s">
        <v>1672</v>
      </c>
      <c r="B27" s="416">
        <v>2</v>
      </c>
      <c r="C27" s="411">
        <v>45941</v>
      </c>
      <c r="F27" s="410" t="s">
        <v>1698</v>
      </c>
      <c r="G27" s="410" t="s">
        <v>1678</v>
      </c>
      <c r="H27" s="411">
        <v>45983</v>
      </c>
    </row>
    <row r="28" spans="1:8" x14ac:dyDescent="0.2">
      <c r="A28" s="415" t="s">
        <v>1672</v>
      </c>
      <c r="B28" s="416">
        <v>3</v>
      </c>
      <c r="C28" s="411">
        <v>45969</v>
      </c>
      <c r="F28" s="410" t="s">
        <v>1698</v>
      </c>
      <c r="G28" s="410" t="s">
        <v>1679</v>
      </c>
      <c r="H28" s="411">
        <v>45997</v>
      </c>
    </row>
    <row r="29" spans="1:8" x14ac:dyDescent="0.2">
      <c r="A29" s="415" t="s">
        <v>1672</v>
      </c>
      <c r="B29" s="416">
        <v>4</v>
      </c>
      <c r="C29" s="411">
        <v>45983</v>
      </c>
      <c r="F29" s="410" t="s">
        <v>1698</v>
      </c>
      <c r="G29" s="410" t="s">
        <v>1680</v>
      </c>
      <c r="H29" s="411">
        <v>46032</v>
      </c>
    </row>
    <row r="30" spans="1:8" x14ac:dyDescent="0.2">
      <c r="A30" s="415" t="s">
        <v>1672</v>
      </c>
      <c r="B30" s="416">
        <v>5</v>
      </c>
      <c r="C30" s="411">
        <v>45997</v>
      </c>
      <c r="F30" s="410" t="s">
        <v>1698</v>
      </c>
      <c r="G30" s="410" t="s">
        <v>1681</v>
      </c>
      <c r="H30" s="411">
        <v>46102</v>
      </c>
    </row>
    <row r="31" spans="1:8" ht="19" x14ac:dyDescent="0.2">
      <c r="A31" s="415" t="s">
        <v>1672</v>
      </c>
      <c r="B31" s="420">
        <v>6</v>
      </c>
      <c r="C31" s="411">
        <v>46032</v>
      </c>
      <c r="F31" s="410" t="s">
        <v>1698</v>
      </c>
      <c r="G31" s="410" t="s">
        <v>1682</v>
      </c>
      <c r="H31" s="411">
        <v>46158</v>
      </c>
    </row>
    <row r="32" spans="1:8" x14ac:dyDescent="0.2">
      <c r="A32" s="415" t="s">
        <v>1672</v>
      </c>
      <c r="B32" s="416">
        <v>7</v>
      </c>
      <c r="C32" s="411">
        <v>46102</v>
      </c>
      <c r="F32" s="410" t="s">
        <v>1698</v>
      </c>
      <c r="G32" s="410" t="s">
        <v>1699</v>
      </c>
      <c r="H32" s="411">
        <v>46172</v>
      </c>
    </row>
    <row r="33" spans="1:8" x14ac:dyDescent="0.2">
      <c r="A33" s="415" t="s">
        <v>1672</v>
      </c>
      <c r="B33" s="416">
        <v>8</v>
      </c>
      <c r="C33" s="411">
        <v>46158</v>
      </c>
      <c r="F33" t="s">
        <v>1700</v>
      </c>
      <c r="G33" t="s">
        <v>1701</v>
      </c>
      <c r="H33" s="25">
        <v>45911</v>
      </c>
    </row>
    <row r="34" spans="1:8" x14ac:dyDescent="0.2">
      <c r="A34" s="415" t="s">
        <v>1672</v>
      </c>
      <c r="B34" s="416" t="s">
        <v>403</v>
      </c>
      <c r="C34" s="411">
        <v>46172</v>
      </c>
      <c r="F34" t="s">
        <v>1700</v>
      </c>
      <c r="G34" t="s">
        <v>1702</v>
      </c>
      <c r="H34" s="25">
        <v>45933</v>
      </c>
    </row>
    <row r="35" spans="1:8" x14ac:dyDescent="0.2">
      <c r="A35" s="415" t="s">
        <v>1673</v>
      </c>
      <c r="B35" s="422" t="s">
        <v>524</v>
      </c>
      <c r="C35" s="411">
        <v>46035</v>
      </c>
      <c r="F35" t="s">
        <v>1700</v>
      </c>
      <c r="G35" t="s">
        <v>1703</v>
      </c>
      <c r="H35" s="25">
        <v>45975</v>
      </c>
    </row>
    <row r="36" spans="1:8" x14ac:dyDescent="0.2">
      <c r="A36" s="415" t="s">
        <v>1673</v>
      </c>
      <c r="B36" s="422" t="s">
        <v>525</v>
      </c>
      <c r="C36" s="411">
        <v>46049</v>
      </c>
      <c r="F36" t="s">
        <v>1700</v>
      </c>
      <c r="G36" t="s">
        <v>1704</v>
      </c>
      <c r="H36" s="25">
        <v>45982</v>
      </c>
    </row>
    <row r="37" spans="1:8" x14ac:dyDescent="0.2">
      <c r="A37" s="415" t="s">
        <v>1673</v>
      </c>
      <c r="B37" s="422" t="s">
        <v>1742</v>
      </c>
      <c r="C37" s="411">
        <v>46060</v>
      </c>
    </row>
    <row r="38" spans="1:8" x14ac:dyDescent="0.2">
      <c r="A38" s="415" t="s">
        <v>1673</v>
      </c>
      <c r="B38" s="422" t="s">
        <v>526</v>
      </c>
      <c r="C38" s="411">
        <v>46039</v>
      </c>
      <c r="F38" t="s">
        <v>1700</v>
      </c>
      <c r="G38" t="s">
        <v>1705</v>
      </c>
      <c r="H38" s="25">
        <v>45996</v>
      </c>
    </row>
    <row r="39" spans="1:8" x14ac:dyDescent="0.2">
      <c r="A39" s="415" t="s">
        <v>1673</v>
      </c>
      <c r="B39" s="422" t="s">
        <v>527</v>
      </c>
      <c r="C39" s="411">
        <v>46053</v>
      </c>
      <c r="F39" t="s">
        <v>1700</v>
      </c>
      <c r="G39" t="s">
        <v>1706</v>
      </c>
      <c r="H39" s="25">
        <v>46010</v>
      </c>
    </row>
    <row r="40" spans="1:8" x14ac:dyDescent="0.2">
      <c r="A40" s="415" t="s">
        <v>1673</v>
      </c>
      <c r="B40" s="423" t="s">
        <v>396</v>
      </c>
      <c r="C40" s="424" t="s">
        <v>1743</v>
      </c>
      <c r="F40" t="s">
        <v>1700</v>
      </c>
      <c r="G40" t="s">
        <v>1707</v>
      </c>
      <c r="H40" s="25">
        <v>46104</v>
      </c>
    </row>
    <row r="41" spans="1:8" ht="19" x14ac:dyDescent="0.2">
      <c r="A41" s="415" t="s">
        <v>1674</v>
      </c>
      <c r="B41" s="425" t="s">
        <v>1686</v>
      </c>
      <c r="C41" s="411">
        <v>45977</v>
      </c>
      <c r="F41" s="410" t="s">
        <v>1708</v>
      </c>
      <c r="G41" s="410" t="s">
        <v>1709</v>
      </c>
      <c r="H41" s="411">
        <v>46035</v>
      </c>
    </row>
    <row r="42" spans="1:8" ht="19" x14ac:dyDescent="0.2">
      <c r="A42" s="415" t="s">
        <v>1674</v>
      </c>
      <c r="B42" s="425" t="s">
        <v>1688</v>
      </c>
      <c r="C42" s="411">
        <v>45991</v>
      </c>
      <c r="F42" s="410" t="s">
        <v>1708</v>
      </c>
      <c r="G42" s="410" t="s">
        <v>1710</v>
      </c>
      <c r="H42" s="411">
        <v>46049</v>
      </c>
    </row>
    <row r="43" spans="1:8" ht="19" x14ac:dyDescent="0.2">
      <c r="A43" s="415" t="s">
        <v>1674</v>
      </c>
      <c r="B43" s="425" t="s">
        <v>1689</v>
      </c>
      <c r="C43" s="411">
        <v>46061</v>
      </c>
      <c r="F43" s="410" t="s">
        <v>1708</v>
      </c>
      <c r="G43" s="410" t="s">
        <v>1711</v>
      </c>
      <c r="H43" s="411">
        <v>46060</v>
      </c>
    </row>
    <row r="44" spans="1:8" ht="19" x14ac:dyDescent="0.2">
      <c r="A44" s="415" t="s">
        <v>1674</v>
      </c>
      <c r="B44" s="425" t="s">
        <v>1687</v>
      </c>
      <c r="C44" s="411">
        <v>45970</v>
      </c>
      <c r="F44" s="410" t="s">
        <v>1712</v>
      </c>
      <c r="G44" s="410" t="s">
        <v>1709</v>
      </c>
      <c r="H44" s="411">
        <v>46039</v>
      </c>
    </row>
    <row r="45" spans="1:8" ht="19" x14ac:dyDescent="0.2">
      <c r="A45" s="415" t="s">
        <v>1674</v>
      </c>
      <c r="B45" s="425" t="s">
        <v>1690</v>
      </c>
      <c r="C45" s="411">
        <v>46033</v>
      </c>
      <c r="F45" s="410" t="s">
        <v>1712</v>
      </c>
      <c r="G45" s="410" t="s">
        <v>1710</v>
      </c>
      <c r="H45" s="411">
        <v>46053</v>
      </c>
    </row>
    <row r="46" spans="1:8" ht="19" x14ac:dyDescent="0.2">
      <c r="A46" s="415" t="s">
        <v>1674</v>
      </c>
      <c r="B46" s="425" t="s">
        <v>1691</v>
      </c>
      <c r="C46" s="411">
        <v>46054</v>
      </c>
      <c r="F46" s="410" t="s">
        <v>1712</v>
      </c>
      <c r="G46" s="410" t="s">
        <v>1713</v>
      </c>
      <c r="H46" s="411" t="s">
        <v>1714</v>
      </c>
    </row>
    <row r="47" spans="1:8" ht="19" x14ac:dyDescent="0.2">
      <c r="A47" s="415" t="s">
        <v>1674</v>
      </c>
      <c r="B47" s="425" t="s">
        <v>1692</v>
      </c>
      <c r="C47" s="411" t="s">
        <v>1744</v>
      </c>
      <c r="F47" s="410" t="s">
        <v>1715</v>
      </c>
      <c r="G47" s="410" t="s">
        <v>1709</v>
      </c>
      <c r="H47" s="411">
        <v>45977</v>
      </c>
    </row>
    <row r="48" spans="1:8" x14ac:dyDescent="0.2">
      <c r="F48" s="410" t="s">
        <v>1715</v>
      </c>
      <c r="G48" s="410" t="s">
        <v>1716</v>
      </c>
      <c r="H48" s="411">
        <v>45991</v>
      </c>
    </row>
    <row r="49" spans="6:8" x14ac:dyDescent="0.2">
      <c r="F49" s="410" t="s">
        <v>1715</v>
      </c>
      <c r="G49" s="410" t="s">
        <v>1717</v>
      </c>
      <c r="H49" s="411">
        <v>46061</v>
      </c>
    </row>
    <row r="50" spans="6:8" x14ac:dyDescent="0.2">
      <c r="F50" s="410" t="s">
        <v>1718</v>
      </c>
      <c r="G50" s="410" t="s">
        <v>1709</v>
      </c>
      <c r="H50" s="411">
        <v>45970</v>
      </c>
    </row>
    <row r="51" spans="6:8" x14ac:dyDescent="0.2">
      <c r="F51" s="410" t="s">
        <v>1718</v>
      </c>
      <c r="G51" s="410" t="s">
        <v>1716</v>
      </c>
      <c r="H51" s="411">
        <v>46033</v>
      </c>
    </row>
    <row r="52" spans="6:8" x14ac:dyDescent="0.2">
      <c r="F52" s="410" t="s">
        <v>1718</v>
      </c>
      <c r="G52" s="410" t="s">
        <v>1719</v>
      </c>
      <c r="H52" s="411">
        <v>46054</v>
      </c>
    </row>
    <row r="53" spans="6:8" x14ac:dyDescent="0.2">
      <c r="F53" t="s">
        <v>1720</v>
      </c>
      <c r="G53" t="s">
        <v>1709</v>
      </c>
      <c r="H53" s="25">
        <v>46005</v>
      </c>
    </row>
    <row r="54" spans="6:8" x14ac:dyDescent="0.2">
      <c r="F54" t="s">
        <v>1721</v>
      </c>
      <c r="G54" t="s">
        <v>1709</v>
      </c>
      <c r="H54" s="25">
        <v>46047</v>
      </c>
    </row>
    <row r="55" spans="6:8" x14ac:dyDescent="0.2">
      <c r="F55" t="s">
        <v>1722</v>
      </c>
      <c r="G55" t="s">
        <v>1709</v>
      </c>
      <c r="H55" s="25">
        <v>45998</v>
      </c>
    </row>
    <row r="56" spans="6:8" x14ac:dyDescent="0.2">
      <c r="F56" t="s">
        <v>1723</v>
      </c>
      <c r="G56" t="s">
        <v>437</v>
      </c>
      <c r="H56" s="25">
        <v>45962</v>
      </c>
    </row>
    <row r="57" spans="6:8" x14ac:dyDescent="0.2">
      <c r="F57" t="s">
        <v>1723</v>
      </c>
      <c r="G57" t="s">
        <v>437</v>
      </c>
      <c r="H57" s="25">
        <v>45972</v>
      </c>
    </row>
    <row r="58" spans="6:8" x14ac:dyDescent="0.2">
      <c r="F58" t="s">
        <v>1723</v>
      </c>
      <c r="G58" t="s">
        <v>437</v>
      </c>
      <c r="H58" s="25">
        <v>46016</v>
      </c>
    </row>
    <row r="59" spans="6:8" x14ac:dyDescent="0.2">
      <c r="F59" t="s">
        <v>1723</v>
      </c>
      <c r="G59" t="s">
        <v>437</v>
      </c>
      <c r="H59" s="25">
        <v>46023</v>
      </c>
    </row>
    <row r="60" spans="6:8" x14ac:dyDescent="0.2">
      <c r="F60" t="s">
        <v>1723</v>
      </c>
      <c r="G60" t="s">
        <v>437</v>
      </c>
      <c r="H60" s="25">
        <v>46143</v>
      </c>
    </row>
    <row r="61" spans="6:8" x14ac:dyDescent="0.2">
      <c r="F61" t="s">
        <v>1723</v>
      </c>
      <c r="G61" t="s">
        <v>437</v>
      </c>
      <c r="H61" s="25">
        <v>46150</v>
      </c>
    </row>
    <row r="62" spans="6:8" x14ac:dyDescent="0.2">
      <c r="F62" t="s">
        <v>1723</v>
      </c>
      <c r="G62" t="s">
        <v>1724</v>
      </c>
      <c r="H62" s="25">
        <v>46156</v>
      </c>
    </row>
    <row r="63" spans="6:8" x14ac:dyDescent="0.2">
      <c r="F63" t="s">
        <v>1725</v>
      </c>
      <c r="G63" t="s">
        <v>1726</v>
      </c>
      <c r="H63" s="25">
        <v>46042</v>
      </c>
    </row>
    <row r="64" spans="6:8" x14ac:dyDescent="0.2">
      <c r="F64" t="s">
        <v>1727</v>
      </c>
      <c r="G64" t="s">
        <v>1709</v>
      </c>
      <c r="H64" s="25">
        <v>45993</v>
      </c>
    </row>
    <row r="65" spans="6:8" x14ac:dyDescent="0.2">
      <c r="F65" t="s">
        <v>1728</v>
      </c>
      <c r="G65" t="s">
        <v>1729</v>
      </c>
      <c r="H65" s="25">
        <v>46130</v>
      </c>
    </row>
    <row r="66" spans="6:8" x14ac:dyDescent="0.2">
      <c r="F66" t="s">
        <v>1730</v>
      </c>
      <c r="G66" t="s">
        <v>1709</v>
      </c>
      <c r="H66" s="25">
        <v>46109</v>
      </c>
    </row>
    <row r="67" spans="6:8" x14ac:dyDescent="0.2">
      <c r="F67" t="s">
        <v>1731</v>
      </c>
      <c r="H67" s="25">
        <v>46117</v>
      </c>
    </row>
    <row r="68" spans="6:8" x14ac:dyDescent="0.2">
      <c r="F68" t="s">
        <v>1732</v>
      </c>
      <c r="G68" t="s">
        <v>437</v>
      </c>
      <c r="H68" s="25">
        <v>46118</v>
      </c>
    </row>
    <row r="69" spans="6:8" x14ac:dyDescent="0.2">
      <c r="F69" s="410" t="s">
        <v>1733</v>
      </c>
      <c r="G69" s="410"/>
      <c r="H69" s="411">
        <v>46165</v>
      </c>
    </row>
    <row r="70" spans="6:8" x14ac:dyDescent="0.2">
      <c r="F70" s="410" t="s">
        <v>1733</v>
      </c>
      <c r="G70" s="410" t="s">
        <v>1734</v>
      </c>
      <c r="H70" s="411">
        <v>46166</v>
      </c>
    </row>
    <row r="71" spans="6:8" x14ac:dyDescent="0.2">
      <c r="F71" s="410" t="s">
        <v>1733</v>
      </c>
      <c r="G71" s="410" t="s">
        <v>1735</v>
      </c>
      <c r="H71" s="411">
        <v>46167</v>
      </c>
    </row>
    <row r="72" spans="6:8" x14ac:dyDescent="0.2">
      <c r="F72" s="410" t="s">
        <v>1736</v>
      </c>
      <c r="G72" s="410" t="s">
        <v>1709</v>
      </c>
      <c r="H72" s="411">
        <v>46137</v>
      </c>
    </row>
    <row r="73" spans="6:8" x14ac:dyDescent="0.2">
      <c r="F73" s="410" t="s">
        <v>1736</v>
      </c>
      <c r="G73" s="410" t="s">
        <v>1716</v>
      </c>
      <c r="H73" s="411">
        <v>46138</v>
      </c>
    </row>
    <row r="74" spans="6:8" x14ac:dyDescent="0.2">
      <c r="F74" t="s">
        <v>1737</v>
      </c>
      <c r="G74" t="s">
        <v>437</v>
      </c>
      <c r="H74" s="25">
        <v>45939</v>
      </c>
    </row>
    <row r="75" spans="6:8" x14ac:dyDescent="0.2">
      <c r="F75" t="s">
        <v>1738</v>
      </c>
      <c r="G75" t="s">
        <v>1709</v>
      </c>
      <c r="H75" s="25">
        <v>46068</v>
      </c>
    </row>
    <row r="76" spans="6:8" x14ac:dyDescent="0.2">
      <c r="F76" t="s">
        <v>1739</v>
      </c>
      <c r="G76" t="s">
        <v>1709</v>
      </c>
      <c r="H76" s="25">
        <v>46096</v>
      </c>
    </row>
    <row r="77" spans="6:8" x14ac:dyDescent="0.2">
      <c r="F77" t="s">
        <v>1740</v>
      </c>
      <c r="G77" t="s">
        <v>1709</v>
      </c>
      <c r="H77" s="25">
        <v>46103</v>
      </c>
    </row>
    <row r="78" spans="6:8" x14ac:dyDescent="0.2">
      <c r="F78" t="s">
        <v>1741</v>
      </c>
      <c r="G78" t="s">
        <v>1709</v>
      </c>
      <c r="H78" s="25">
        <v>46040</v>
      </c>
    </row>
  </sheetData>
  <sheetProtection algorithmName="SHA-512" hashValue="swGCcjYclcsdhC8g+fi9VH7TeOwx/lkV4WJbkUtuAP7YO4JmyHEA3dco0iigeFuVDsZm47e6/vkJ7clQt8Tvmg==" saltValue="C7f26qJ6AQrRx2TZgvFf+w==" spinCount="100000" sheet="1" objects="1" scenarios="1"/>
  <phoneticPr fontId="8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15</vt:i4>
      </vt:variant>
      <vt:variant>
        <vt:lpstr>Plages nommées</vt:lpstr>
      </vt:variant>
      <vt:variant>
        <vt:i4>21</vt:i4>
      </vt:variant>
    </vt:vector>
  </HeadingPairs>
  <TitlesOfParts>
    <vt:vector size="36" baseType="lpstr">
      <vt:lpstr>EQUIPE A 3</vt:lpstr>
      <vt:lpstr>arbitrage 3</vt:lpstr>
      <vt:lpstr> EQUIPE A 4</vt:lpstr>
      <vt:lpstr>arbitrage 4</vt:lpstr>
      <vt:lpstr>JEUNES (4)</vt:lpstr>
      <vt:lpstr>arbitrage Jeunes (4)</vt:lpstr>
      <vt:lpstr>JEUNES (2)</vt:lpstr>
      <vt:lpstr>arbitrage Jeunes (2)</vt:lpstr>
      <vt:lpstr>Coupes départementales</vt:lpstr>
      <vt:lpstr>arbitrage CD</vt:lpstr>
      <vt:lpstr>Coupes Nationales</vt:lpstr>
      <vt:lpstr>Arbitrage CN</vt:lpstr>
      <vt:lpstr>LISTE JOUEURS</vt:lpstr>
      <vt:lpstr>LISTING CLUB</vt:lpstr>
      <vt:lpstr>Jour Match</vt:lpstr>
      <vt:lpstr>Club</vt:lpstr>
      <vt:lpstr>'LISTE JOUEURS'!Impression_des_titres</vt:lpstr>
      <vt:lpstr>'Coupes départementales'!JourneeCD</vt:lpstr>
      <vt:lpstr>'Coupes Nationales'!JourneeCN</vt:lpstr>
      <vt:lpstr>' EQUIPE A 4'!JourneeE4</vt:lpstr>
      <vt:lpstr>'EQUIPE A 3'!JourneeE6</vt:lpstr>
      <vt:lpstr>'JEUNES (4)'!JourneeEJ</vt:lpstr>
      <vt:lpstr>Listing</vt:lpstr>
      <vt:lpstr>' EQUIPE A 4'!Zone_d_impression</vt:lpstr>
      <vt:lpstr>'arbitrage 3'!Zone_d_impression</vt:lpstr>
      <vt:lpstr>'arbitrage 4'!Zone_d_impression</vt:lpstr>
      <vt:lpstr>'arbitrage CD'!Zone_d_impression</vt:lpstr>
      <vt:lpstr>'Arbitrage CN'!Zone_d_impression</vt:lpstr>
      <vt:lpstr>'arbitrage Jeunes (2)'!Zone_d_impression</vt:lpstr>
      <vt:lpstr>'arbitrage Jeunes (4)'!Zone_d_impression</vt:lpstr>
      <vt:lpstr>'Coupes départementales'!Zone_d_impression</vt:lpstr>
      <vt:lpstr>'Coupes Nationales'!Zone_d_impression</vt:lpstr>
      <vt:lpstr>'EQUIPE A 3'!Zone_d_impression</vt:lpstr>
      <vt:lpstr>'JEUNES (2)'!Zone_d_impression</vt:lpstr>
      <vt:lpstr>'JEUNES (4)'!Zone_d_impression</vt:lpstr>
      <vt:lpstr>'LISTE JOUEURS'!Zone_d_impression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Alain Guilliomet</cp:lastModifiedBy>
  <cp:lastPrinted>2024-06-10T14:33:36Z</cp:lastPrinted>
  <dcterms:created xsi:type="dcterms:W3CDTF">2017-07-23T03:11:12Z</dcterms:created>
  <dcterms:modified xsi:type="dcterms:W3CDTF">2025-11-24T13:32:54Z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24ffcea-f25b-491e-9dc9-834516f3550e_Enabled">
    <vt:lpwstr>true</vt:lpwstr>
  </property>
  <property fmtid="{D5CDD505-2E9C-101B-9397-08002B2CF9AE}" pid="3" name="MSIP_Label_024ffcea-f25b-491e-9dc9-834516f3550e_SetDate">
    <vt:lpwstr>2025-02-06T18:41:05Z</vt:lpwstr>
  </property>
  <property fmtid="{D5CDD505-2E9C-101B-9397-08002B2CF9AE}" pid="4" name="MSIP_Label_024ffcea-f25b-491e-9dc9-834516f3550e_Method">
    <vt:lpwstr>Standard</vt:lpwstr>
  </property>
  <property fmtid="{D5CDD505-2E9C-101B-9397-08002B2CF9AE}" pid="5" name="MSIP_Label_024ffcea-f25b-491e-9dc9-834516f3550e_Name">
    <vt:lpwstr>C2 - restricted</vt:lpwstr>
  </property>
  <property fmtid="{D5CDD505-2E9C-101B-9397-08002B2CF9AE}" pid="6" name="MSIP_Label_024ffcea-f25b-491e-9dc9-834516f3550e_SiteId">
    <vt:lpwstr>d52b49b7-0c8f-4d89-8c4f-f20517306e08</vt:lpwstr>
  </property>
  <property fmtid="{D5CDD505-2E9C-101B-9397-08002B2CF9AE}" pid="7" name="MSIP_Label_024ffcea-f25b-491e-9dc9-834516f3550e_ActionId">
    <vt:lpwstr>448ec3f8-12f3-43e2-aac5-89ace05c3e0f</vt:lpwstr>
  </property>
  <property fmtid="{D5CDD505-2E9C-101B-9397-08002B2CF9AE}" pid="8" name="MSIP_Label_024ffcea-f25b-491e-9dc9-834516f3550e_ContentBits">
    <vt:lpwstr>1</vt:lpwstr>
  </property>
</Properties>
</file>